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Baiba\Documents\majas lapa\privātie pensiju fondi\"/>
    </mc:Choice>
  </mc:AlternateContent>
  <bookViews>
    <workbookView xWindow="0" yWindow="0" windowWidth="20490" windowHeight="7530" tabRatio="825" activeTab="11"/>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 name="Aug-2016" sheetId="53" r:id="rId9"/>
    <sheet name="Sept-2016" sheetId="54" r:id="rId10"/>
    <sheet name="Okt-2016" sheetId="55" r:id="rId11"/>
    <sheet name="Nov-2016" sheetId="56" r:id="rId12"/>
  </sheets>
  <calcPr calcId="162913"/>
</workbook>
</file>

<file path=xl/calcChain.xml><?xml version="1.0" encoding="utf-8"?>
<calcChain xmlns="http://schemas.openxmlformats.org/spreadsheetml/2006/main">
  <c r="L14" i="56" l="1"/>
  <c r="L26" i="56"/>
  <c r="F26" i="56"/>
  <c r="E26" i="56"/>
  <c r="M7" i="56"/>
  <c r="M26" i="56" l="1"/>
  <c r="I26" i="56"/>
  <c r="G26" i="56"/>
  <c r="H26" i="56"/>
  <c r="K26" i="56"/>
  <c r="J26" i="56"/>
  <c r="F7" i="56"/>
  <c r="E7" i="56"/>
  <c r="F30" i="56" l="1"/>
  <c r="E30" i="56"/>
  <c r="F14" i="56"/>
  <c r="E14" i="56"/>
  <c r="M30" i="56" l="1"/>
  <c r="E32" i="56"/>
  <c r="I32" i="56"/>
  <c r="H14" i="56"/>
  <c r="J30" i="56"/>
  <c r="K30" i="56"/>
  <c r="G30" i="56"/>
  <c r="G32" i="56" s="1"/>
  <c r="L30" i="56"/>
  <c r="H30" i="56"/>
  <c r="H32" i="56" s="1"/>
  <c r="E33" i="56"/>
  <c r="F32" i="56"/>
  <c r="I14" i="56"/>
  <c r="M14" i="56"/>
  <c r="J14" i="56"/>
  <c r="G14" i="56"/>
  <c r="K14" i="56"/>
  <c r="I30" i="56"/>
  <c r="M21" i="55"/>
  <c r="L21" i="55"/>
  <c r="K10" i="55"/>
  <c r="L10" i="55"/>
  <c r="I21" i="55"/>
  <c r="H21" i="55"/>
  <c r="G21" i="55"/>
  <c r="J10" i="55"/>
  <c r="F25" i="55"/>
  <c r="E25" i="55"/>
  <c r="M25" i="55" s="1"/>
  <c r="F21" i="55"/>
  <c r="E21" i="55"/>
  <c r="K21" i="55" s="1"/>
  <c r="F10" i="55"/>
  <c r="E10" i="55"/>
  <c r="I10" i="55" s="1"/>
  <c r="G10" i="55" l="1"/>
  <c r="M10" i="55"/>
  <c r="J21" i="55"/>
  <c r="H10" i="55"/>
  <c r="F33" i="56"/>
  <c r="F37" i="56" s="1"/>
  <c r="L32" i="56"/>
  <c r="K32" i="56"/>
  <c r="J32" i="56"/>
  <c r="E37" i="56"/>
  <c r="M32" i="56"/>
  <c r="H25" i="55"/>
  <c r="J25" i="55"/>
  <c r="K25" i="55"/>
  <c r="G25" i="55"/>
  <c r="L25" i="55"/>
  <c r="F27" i="55"/>
  <c r="F28" i="55" s="1"/>
  <c r="F32" i="55" s="1"/>
  <c r="I25" i="55"/>
  <c r="E27" i="55"/>
  <c r="G27" i="55" s="1"/>
  <c r="F25" i="54"/>
  <c r="E25" i="54"/>
  <c r="K25" i="54" s="1"/>
  <c r="L21" i="54"/>
  <c r="F21" i="54"/>
  <c r="E21" i="54"/>
  <c r="L10" i="54"/>
  <c r="K10" i="54"/>
  <c r="J10" i="54"/>
  <c r="F10" i="54"/>
  <c r="E10" i="54"/>
  <c r="H10" i="54" s="1"/>
  <c r="M41" i="56" l="1"/>
  <c r="K41" i="56"/>
  <c r="J41" i="56"/>
  <c r="G41" i="56"/>
  <c r="I41" i="56"/>
  <c r="H41" i="56"/>
  <c r="L41" i="56"/>
  <c r="J27" i="55"/>
  <c r="E28" i="55"/>
  <c r="E32" i="55" s="1"/>
  <c r="I27" i="55"/>
  <c r="H27" i="55"/>
  <c r="M27" i="55"/>
  <c r="K27" i="55"/>
  <c r="L27" i="55"/>
  <c r="H25" i="54"/>
  <c r="L25" i="54"/>
  <c r="F27" i="54"/>
  <c r="F28" i="54" s="1"/>
  <c r="F32" i="54" s="1"/>
  <c r="G10" i="54"/>
  <c r="I21" i="54"/>
  <c r="M21" i="54"/>
  <c r="J21" i="54"/>
  <c r="I25" i="54"/>
  <c r="M25" i="54"/>
  <c r="G21" i="54"/>
  <c r="K21" i="54"/>
  <c r="J25" i="54"/>
  <c r="E27" i="54"/>
  <c r="E28" i="54" s="1"/>
  <c r="E32" i="54" s="1"/>
  <c r="I10" i="54"/>
  <c r="M10" i="54"/>
  <c r="H21" i="54"/>
  <c r="G25" i="54"/>
  <c r="L42" i="56" l="1"/>
  <c r="H42" i="56"/>
  <c r="K42" i="56"/>
  <c r="K36" i="55"/>
  <c r="H36" i="55"/>
  <c r="L36" i="55"/>
  <c r="M36" i="55"/>
  <c r="M37" i="55" s="1"/>
  <c r="G36" i="55"/>
  <c r="J36" i="55"/>
  <c r="I36" i="55"/>
  <c r="I37" i="55" s="1"/>
  <c r="K27" i="54"/>
  <c r="M27" i="54"/>
  <c r="I27" i="54"/>
  <c r="H36" i="54"/>
  <c r="J27" i="54"/>
  <c r="G27" i="54"/>
  <c r="K36" i="54"/>
  <c r="L36" i="54"/>
  <c r="G36" i="54"/>
  <c r="M36" i="54"/>
  <c r="L27" i="54"/>
  <c r="J36" i="54"/>
  <c r="I36" i="54"/>
  <c r="H27" i="54"/>
  <c r="F25" i="53"/>
  <c r="E25" i="53"/>
  <c r="M25" i="53" s="1"/>
  <c r="L21" i="53"/>
  <c r="F21" i="53"/>
  <c r="E21" i="53"/>
  <c r="L10" i="53"/>
  <c r="K10" i="53"/>
  <c r="J10" i="53"/>
  <c r="F10" i="53"/>
  <c r="E10" i="53"/>
  <c r="H10" i="53" s="1"/>
  <c r="I42" i="56" l="1"/>
  <c r="J37" i="55"/>
  <c r="H37" i="55"/>
  <c r="L37" i="55"/>
  <c r="K37" i="55"/>
  <c r="J42" i="56"/>
  <c r="M42" i="56"/>
  <c r="K25" i="53"/>
  <c r="E27" i="53"/>
  <c r="G25" i="53"/>
  <c r="J25" i="53"/>
  <c r="K21" i="53"/>
  <c r="G21" i="53"/>
  <c r="H21" i="53"/>
  <c r="F27" i="53"/>
  <c r="F28" i="53" s="1"/>
  <c r="F32" i="53" s="1"/>
  <c r="I10" i="53"/>
  <c r="E28" i="53"/>
  <c r="E32" i="53" s="1"/>
  <c r="I21" i="53"/>
  <c r="M21" i="53"/>
  <c r="H25" i="53"/>
  <c r="L25" i="53"/>
  <c r="L27" i="53" s="1"/>
  <c r="M10" i="53"/>
  <c r="G10" i="53"/>
  <c r="J21" i="53"/>
  <c r="I25" i="53"/>
  <c r="F25" i="52"/>
  <c r="E25" i="52"/>
  <c r="M25" i="52" s="1"/>
  <c r="L21" i="52"/>
  <c r="F21" i="52"/>
  <c r="E21" i="52"/>
  <c r="H21" i="52" s="1"/>
  <c r="L10" i="52"/>
  <c r="K10" i="52"/>
  <c r="J10" i="52"/>
  <c r="F10" i="52"/>
  <c r="E10" i="52"/>
  <c r="H10" i="52" s="1"/>
  <c r="G27" i="53" l="1"/>
  <c r="M27" i="53"/>
  <c r="K27" i="53"/>
  <c r="H36" i="53"/>
  <c r="G36" i="53"/>
  <c r="M36" i="53"/>
  <c r="H27" i="53"/>
  <c r="I36" i="53"/>
  <c r="I27" i="53"/>
  <c r="J27" i="53"/>
  <c r="J36" i="53"/>
  <c r="L36" i="53"/>
  <c r="K36" i="53"/>
  <c r="H25" i="52"/>
  <c r="G21" i="52"/>
  <c r="F27" i="52"/>
  <c r="F28" i="52" s="1"/>
  <c r="F32" i="52" s="1"/>
  <c r="J25" i="52"/>
  <c r="K25" i="52"/>
  <c r="G25" i="52"/>
  <c r="L25" i="52"/>
  <c r="K21" i="52"/>
  <c r="E27" i="52"/>
  <c r="E28" i="52" s="1"/>
  <c r="E32" i="52" s="1"/>
  <c r="I10" i="52"/>
  <c r="M10" i="52"/>
  <c r="I21" i="52"/>
  <c r="M21" i="52"/>
  <c r="M27" i="52" s="1"/>
  <c r="G10" i="52"/>
  <c r="J21" i="52"/>
  <c r="I25" i="52"/>
  <c r="F25" i="51"/>
  <c r="E25" i="51"/>
  <c r="L21" i="51"/>
  <c r="F21" i="51"/>
  <c r="E21" i="51"/>
  <c r="L10" i="51"/>
  <c r="K10" i="51"/>
  <c r="J10" i="51"/>
  <c r="F10" i="51"/>
  <c r="E10" i="51"/>
  <c r="H10" i="51" s="1"/>
  <c r="M37" i="54" l="1"/>
  <c r="K37" i="54"/>
  <c r="L37" i="54"/>
  <c r="I37" i="53"/>
  <c r="I37" i="54"/>
  <c r="H37" i="54"/>
  <c r="J37" i="53"/>
  <c r="J37" i="54"/>
  <c r="L27" i="52"/>
  <c r="G27" i="52"/>
  <c r="H27" i="52"/>
  <c r="L36" i="52"/>
  <c r="M36" i="52"/>
  <c r="G36" i="52"/>
  <c r="I36" i="52"/>
  <c r="K27" i="52"/>
  <c r="H36" i="52"/>
  <c r="I27" i="52"/>
  <c r="J27" i="52"/>
  <c r="J36" i="52"/>
  <c r="K36" i="52"/>
  <c r="K25" i="51"/>
  <c r="M25" i="51"/>
  <c r="L25" i="51"/>
  <c r="F27" i="51"/>
  <c r="F28" i="51" s="1"/>
  <c r="F32" i="51" s="1"/>
  <c r="G10" i="51"/>
  <c r="H25" i="51"/>
  <c r="I21" i="51"/>
  <c r="M21" i="51"/>
  <c r="J21" i="51"/>
  <c r="I25" i="51"/>
  <c r="G21" i="51"/>
  <c r="K21" i="51"/>
  <c r="J25" i="51"/>
  <c r="E27" i="51"/>
  <c r="I10" i="51"/>
  <c r="M10" i="51"/>
  <c r="H21" i="51"/>
  <c r="G25" i="51"/>
  <c r="L25" i="50"/>
  <c r="F25" i="50"/>
  <c r="E25" i="50"/>
  <c r="L21" i="50"/>
  <c r="F21" i="50"/>
  <c r="E21" i="50"/>
  <c r="L10" i="50"/>
  <c r="K10" i="50"/>
  <c r="J10" i="50"/>
  <c r="F10" i="50"/>
  <c r="E10" i="50"/>
  <c r="K37" i="53" l="1"/>
  <c r="L27" i="51"/>
  <c r="H37" i="53"/>
  <c r="L37" i="53"/>
  <c r="M37" i="53"/>
  <c r="I27" i="51"/>
  <c r="G27" i="51"/>
  <c r="K27" i="51"/>
  <c r="M27" i="51"/>
  <c r="J27" i="51"/>
  <c r="E28" i="51"/>
  <c r="E32" i="51" s="1"/>
  <c r="H27" i="51"/>
  <c r="E27" i="50"/>
  <c r="L27" i="50" s="1"/>
  <c r="K25" i="50"/>
  <c r="F27" i="50"/>
  <c r="F28" i="50" s="1"/>
  <c r="F32" i="50" s="1"/>
  <c r="G25" i="50"/>
  <c r="H25" i="50"/>
  <c r="I21" i="50"/>
  <c r="M21" i="50"/>
  <c r="G10" i="50"/>
  <c r="J21" i="50"/>
  <c r="I25" i="50"/>
  <c r="M25" i="50"/>
  <c r="H10" i="50"/>
  <c r="G21" i="50"/>
  <c r="K21" i="50"/>
  <c r="J25" i="50"/>
  <c r="I10" i="50"/>
  <c r="M10" i="50"/>
  <c r="H21" i="50"/>
  <c r="L25" i="49"/>
  <c r="F25" i="49"/>
  <c r="E25" i="49"/>
  <c r="G25" i="49" s="1"/>
  <c r="L21" i="49"/>
  <c r="F21" i="49"/>
  <c r="E21" i="49"/>
  <c r="H21" i="49" s="1"/>
  <c r="L10" i="49"/>
  <c r="K10" i="49"/>
  <c r="J10" i="49"/>
  <c r="F10" i="49"/>
  <c r="E10" i="49"/>
  <c r="L36" i="51" l="1"/>
  <c r="L37" i="52" s="1"/>
  <c r="K36" i="51"/>
  <c r="K37" i="52" s="1"/>
  <c r="J36" i="51"/>
  <c r="J37" i="52" s="1"/>
  <c r="I36" i="51"/>
  <c r="I37" i="52" s="1"/>
  <c r="G36" i="51"/>
  <c r="M36" i="51"/>
  <c r="M37" i="52" s="1"/>
  <c r="H36" i="51"/>
  <c r="H37" i="52" s="1"/>
  <c r="J27" i="50"/>
  <c r="E28" i="50"/>
  <c r="E32" i="50" s="1"/>
  <c r="H27" i="50"/>
  <c r="G27" i="50"/>
  <c r="I27" i="50"/>
  <c r="K27" i="50"/>
  <c r="M27" i="50"/>
  <c r="H25" i="49"/>
  <c r="K25" i="49"/>
  <c r="F27" i="49"/>
  <c r="F28" i="49" s="1"/>
  <c r="F32" i="49" s="1"/>
  <c r="E27" i="49"/>
  <c r="E28" i="49" s="1"/>
  <c r="E32" i="49" s="1"/>
  <c r="I21" i="49"/>
  <c r="M21" i="49"/>
  <c r="I10" i="49"/>
  <c r="M10" i="49"/>
  <c r="G10" i="49"/>
  <c r="J21" i="49"/>
  <c r="I25" i="49"/>
  <c r="M25" i="49"/>
  <c r="H10" i="49"/>
  <c r="G21" i="49"/>
  <c r="K21" i="49"/>
  <c r="J25" i="49"/>
  <c r="L21" i="48"/>
  <c r="L25" i="48"/>
  <c r="G36" i="50" l="1"/>
  <c r="K36" i="50"/>
  <c r="K37" i="51" s="1"/>
  <c r="M36" i="50"/>
  <c r="J36" i="50"/>
  <c r="J37" i="51" s="1"/>
  <c r="I36" i="50"/>
  <c r="I37" i="51" s="1"/>
  <c r="L36" i="50"/>
  <c r="L37" i="51" s="1"/>
  <c r="H36" i="50"/>
  <c r="H37" i="50" s="1"/>
  <c r="L27" i="49"/>
  <c r="M27" i="49"/>
  <c r="J27" i="49"/>
  <c r="H27" i="49"/>
  <c r="G27" i="49"/>
  <c r="I27" i="49"/>
  <c r="K36" i="49"/>
  <c r="G36" i="49"/>
  <c r="H36" i="49"/>
  <c r="M36" i="49"/>
  <c r="I36" i="49"/>
  <c r="L36" i="49"/>
  <c r="K27" i="49"/>
  <c r="J36" i="49"/>
  <c r="F25" i="48"/>
  <c r="E25" i="48"/>
  <c r="M25" i="48" s="1"/>
  <c r="F21" i="48"/>
  <c r="E21" i="48"/>
  <c r="L10" i="48"/>
  <c r="K10" i="48"/>
  <c r="J10" i="48"/>
  <c r="F10" i="48"/>
  <c r="E10" i="48"/>
  <c r="H10" i="48" s="1"/>
  <c r="M37" i="50" l="1"/>
  <c r="H37" i="51"/>
  <c r="M37" i="51"/>
  <c r="L37" i="50"/>
  <c r="K37" i="50"/>
  <c r="I37" i="50"/>
  <c r="J37" i="50"/>
  <c r="G25" i="48"/>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M27" i="48"/>
  <c r="G27" i="48"/>
  <c r="K36" i="48"/>
  <c r="K37" i="49" s="1"/>
  <c r="H27" i="48"/>
  <c r="I27" i="48"/>
  <c r="J27" i="48"/>
  <c r="H25" i="47"/>
  <c r="F27" i="47"/>
  <c r="F28" i="47" s="1"/>
  <c r="F32" i="47" s="1"/>
  <c r="G10" i="47"/>
  <c r="I21" i="47"/>
  <c r="M21" i="47"/>
  <c r="J21" i="47"/>
  <c r="I25" i="47"/>
  <c r="M25" i="47"/>
  <c r="G21" i="47"/>
  <c r="K21" i="47"/>
  <c r="J25" i="47"/>
  <c r="E27" i="47"/>
  <c r="E28" i="47" s="1"/>
  <c r="E32" i="47" s="1"/>
  <c r="I10" i="47"/>
  <c r="M10" i="47"/>
  <c r="H21" i="47"/>
  <c r="G25" i="47"/>
  <c r="G36" i="48" l="1"/>
  <c r="I36" i="48"/>
  <c r="I37" i="49" s="1"/>
  <c r="J36" i="48"/>
  <c r="J37" i="49" s="1"/>
  <c r="M36" i="48"/>
  <c r="M37" i="49" s="1"/>
  <c r="L36" i="48"/>
  <c r="L37" i="49" s="1"/>
  <c r="H36" i="47"/>
  <c r="H37" i="48" s="1"/>
  <c r="M27" i="47"/>
  <c r="I27" i="47"/>
  <c r="K36" i="47"/>
  <c r="K37" i="48" s="1"/>
  <c r="J27" i="47"/>
  <c r="G27" i="47"/>
  <c r="K27" i="47"/>
  <c r="L36" i="47"/>
  <c r="L37" i="48" s="1"/>
  <c r="G36" i="47"/>
  <c r="M36" i="47"/>
  <c r="L27" i="47"/>
  <c r="J36" i="47"/>
  <c r="I36" i="47"/>
  <c r="I37" i="48" s="1"/>
  <c r="H27" i="47"/>
  <c r="L25" i="46"/>
  <c r="F25" i="46"/>
  <c r="E25" i="46"/>
  <c r="H25" i="46" s="1"/>
  <c r="L21" i="46"/>
  <c r="F21" i="46"/>
  <c r="E21" i="46"/>
  <c r="L10" i="46"/>
  <c r="K10" i="46"/>
  <c r="J10" i="46"/>
  <c r="F10" i="46"/>
  <c r="E10" i="46"/>
  <c r="M37" i="48" l="1"/>
  <c r="J37" i="48"/>
  <c r="E27" i="46"/>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E27" i="45"/>
  <c r="L27" i="45" s="1"/>
  <c r="H25" i="45"/>
  <c r="K25" i="45"/>
  <c r="F27" i="45"/>
  <c r="F28" i="45" s="1"/>
  <c r="F32" i="45" s="1"/>
  <c r="G25" i="45"/>
  <c r="I21" i="45"/>
  <c r="M21" i="45"/>
  <c r="G10" i="45"/>
  <c r="J21" i="45"/>
  <c r="I25" i="45"/>
  <c r="M25" i="45"/>
  <c r="H10" i="45"/>
  <c r="G21" i="45"/>
  <c r="K21" i="45"/>
  <c r="J25" i="45"/>
  <c r="I10" i="45"/>
  <c r="M10" i="45"/>
  <c r="H21" i="45"/>
  <c r="E42" i="51" l="1"/>
  <c r="F42" i="51" s="1"/>
  <c r="E42" i="55"/>
  <c r="F42" i="55" s="1"/>
  <c r="E47" i="56"/>
  <c r="F47" i="56" s="1"/>
  <c r="E42" i="54"/>
  <c r="F42" i="54" s="1"/>
  <c r="E42" i="53"/>
  <c r="F42" i="53" s="1"/>
  <c r="E42" i="52"/>
  <c r="F42" i="52" s="1"/>
  <c r="E42" i="49"/>
  <c r="F42" i="49" s="1"/>
  <c r="E42" i="50"/>
  <c r="F42" i="50" s="1"/>
  <c r="M36" i="46"/>
  <c r="M37" i="47" s="1"/>
  <c r="L36" i="46"/>
  <c r="L37" i="47" s="1"/>
  <c r="E42" i="47"/>
  <c r="F42" i="47" s="1"/>
  <c r="E42" i="48"/>
  <c r="F42" i="48" s="1"/>
  <c r="E42" i="46"/>
  <c r="F42" i="46" s="1"/>
  <c r="J37" i="47"/>
  <c r="I36" i="46"/>
  <c r="H36" i="46"/>
  <c r="G36" i="46"/>
  <c r="K36" i="46"/>
  <c r="E28" i="45"/>
  <c r="E32" i="45" s="1"/>
  <c r="I27" i="45"/>
  <c r="H27" i="45"/>
  <c r="K27" i="45"/>
  <c r="G27" i="45"/>
  <c r="M27" i="45"/>
  <c r="J27" i="45"/>
  <c r="E46" i="56" l="1"/>
  <c r="F46" i="56" s="1"/>
  <c r="E41" i="55"/>
  <c r="F41" i="55" s="1"/>
  <c r="E41" i="54"/>
  <c r="F41" i="54" s="1"/>
  <c r="E41" i="53"/>
  <c r="F41" i="53" s="1"/>
  <c r="E41" i="52"/>
  <c r="F41" i="52" s="1"/>
  <c r="E41" i="50"/>
  <c r="F41" i="50" s="1"/>
  <c r="E41" i="51"/>
  <c r="F41" i="51" s="1"/>
  <c r="M36" i="45"/>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<sst xmlns="http://schemas.openxmlformats.org/spreadsheetml/2006/main" count="968" uniqueCount="92">
  <si>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</si>
  <si>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</si>
  <si>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</si>
  <si>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</si>
  <si>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</si>
  <si>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</si>
  <si>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</si>
  <si>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</si>
  <si>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</si>
  <si>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</si>
  <si>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</si>
  <si>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</si>
  <si>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</si>
  <si>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</si>
  <si>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</si>
  <si>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</si>
  <si>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</si>
  <si>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</si>
  <si>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</si>
  <si>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</si>
  <si>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</si>
  <si>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</si>
  <si>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</si>
  <si>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</si>
  <si>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</si>
  <si>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</si>
  <si>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</si>
  <si>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</si>
  <si>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</si>
  <si>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</si>
  <si>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</si>
  <si>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</si>
  <si>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</si>
  <si>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</si>
  <si>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</si>
  <si>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</si>
  <si>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</si>
  <si>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</si>
  <si>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</si>
  <si>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</si>
  <si>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</si>
  <si>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</si>
  <si>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</si>
  <si>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</si>
  <si>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</si>
  <si>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</si>
  <si>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</si>
  <si>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</si>
  <si>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</si>
  <si>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</si>
  <si>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</si>
  <si>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</si>
  <si>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</si>
  <si>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</si>
  <si>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</si>
  <si>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</si>
  <si>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</si>
  <si>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</si>
  <si>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</si>
  <si>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</si>
  <si>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</si>
  <si>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</si>
  <si>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</si>
  <si>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</si>
  <si>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</si>
  <si>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</si>
  <si>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</si>
  <si>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</si>
  <si>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</si>
  <si>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</si>
  <si>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</si>
  <si>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</si>
  <si>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</si>
  <si>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</si>
  <si>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</si>
  <si>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</si>
  <si>
    <t>Pārskats par privāto pensiju fondu (PENSIJU 3.LĪMENIS) pensiju plāniem  31.08.2016</t>
  </si>
  <si>
    <t>Aktīvu pieaugums 8M 2016</t>
  </si>
  <si>
    <t>Dalībnieku skaita pieaugums 8M 2016</t>
  </si>
  <si>
    <t>Pārskats par privāto pensiju fondu (PENSIJU 3.LĪMENIS) pensiju plāniem  30.09.2016</t>
  </si>
  <si>
    <t>Aktīvu pieaugums 9M 2016</t>
  </si>
  <si>
    <t>Dalībnieku skaita pieaugums 9M 2016</t>
  </si>
  <si>
    <t>Pārskats par privāto pensiju fondu (PENSIJU 3.LĪMENIS) pensiju plāniem  31.10.2016</t>
  </si>
  <si>
    <t>Aktīvu pieaugums 10M 2016</t>
  </si>
  <si>
    <t>Dalībnieku skaita pieaugums 10M 2016</t>
  </si>
  <si>
    <t>Pārskats par privāto pensiju fondu (PENSIJU 3.LĪMENIS) pensiju plāniem  30.11.2016</t>
  </si>
  <si>
    <t>Aktīvu pieaugums 11M 2016</t>
  </si>
  <si>
    <t>Dalībnieku skaita pieaugums 11M 2016</t>
  </si>
  <si>
    <t>INVL Konservatīvais 58+</t>
  </si>
  <si>
    <t xml:space="preserve">Konservatīvie pensiju plāni </t>
  </si>
  <si>
    <t>INVL Sabalansētais 47+</t>
  </si>
  <si>
    <t>Kopā konservatīvie pensiju plāni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</si>
</sst>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45">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3" borderId="1" xfId="0" applyFont="1" applyFill="1" applyBorder="1" applyAlignment="1">
      <alignment horizontal="left" wrapText="1"/>
    </xf>
    <xf numFmtId="0" fontId="4" fillId="3" borderId="1" xfId="0" applyFont="1" applyFill="1" applyBorder="1" applyAlignment="1">
      <alignment horizontal="center" wrapText="1"/>
    </xf>
    <xf numFmtId="14" fontId="4" fillId="3" borderId="1" xfId="0" applyNumberFormat="1" applyFont="1" applyFill="1" applyBorder="1" applyAlignment="1">
      <alignment horizontal="right" wrapText="1"/>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0" fontId="4" fillId="2" borderId="1" xfId="0" applyFont="1" applyFill="1" applyBorder="1" applyAlignment="1">
      <alignment horizontal="left" wrapText="1"/>
    </xf>
    <xf numFmtId="0" fontId="4" fillId="2" borderId="1" xfId="0" applyFont="1" applyFill="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6" fontId="5" fillId="0" borderId="1" xfId="0" applyNumberFormat="1" applyFont="1" applyBorder="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19" fillId="10" borderId="1" xfId="4" applyFont="1" applyBorder="1" applyAlignment="1">
      <alignment horizontal="left" wrapText="1"/>
    </xf>
    <xf numFmtId="0" fontId="19" fillId="10" borderId="1" xfId="4" applyFont="1" applyBorder="1" applyAlignment="1">
      <alignment horizontal="center" wrapText="1"/>
    </xf>
    <xf numFmtId="14" fontId="19" fillId="10" borderId="1" xfId="4" applyNumberFormat="1" applyFont="1" applyBorder="1" applyAlignment="1">
      <alignment horizontal="right"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4"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52</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19" t="s">
        <v>3</v>
      </c>
      <c r="I3" s="119" t="s">
        <v>4</v>
      </c>
      <c r="J3" s="119" t="s">
        <v>5</v>
      </c>
      <c r="K3" s="119" t="s">
        <v>6</v>
      </c>
      <c r="L3" s="71" t="s">
        <v>41</v>
      </c>
      <c r="M3" s="120"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39514</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220" t="s">
        <v>37</v>
      </c>
      <c r="B28" s="220"/>
      <c r="C28" s="220"/>
      <c r="D28" s="220"/>
      <c r="E28" s="70">
        <f>SUM(E10,E27)</f>
        <v>268.44145074742914</v>
      </c>
      <c r="F28" s="53">
        <f>SUM(F10, F27)</f>
        <v>242335</v>
      </c>
      <c r="G28" s="124"/>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224" t="s">
        <v>26</v>
      </c>
      <c r="B32" s="225"/>
      <c r="C32" s="225"/>
      <c r="D32" s="226"/>
      <c r="E32" s="101">
        <f>E28+E31</f>
        <v>330.39745074742916</v>
      </c>
      <c r="F32" s="102">
        <f>F28+F31</f>
        <v>255012</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213" t="s">
        <v>39</v>
      </c>
      <c r="F36" s="214"/>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79</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74" t="s">
        <v>3</v>
      </c>
      <c r="I3" s="174" t="s">
        <v>4</v>
      </c>
      <c r="J3" s="174" t="s">
        <v>5</v>
      </c>
      <c r="K3" s="174" t="s">
        <v>6</v>
      </c>
      <c r="L3" s="71" t="s">
        <v>41</v>
      </c>
      <c r="M3" s="175"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26.360511710000001</v>
      </c>
      <c r="F6" s="64">
        <v>29704</v>
      </c>
      <c r="G6" s="73">
        <v>2.486371490163263</v>
      </c>
      <c r="H6" s="90">
        <v>4.2852344161339762</v>
      </c>
      <c r="I6" s="90">
        <v>1.8820840508121606</v>
      </c>
      <c r="J6" s="90">
        <v>2.694945293151596</v>
      </c>
      <c r="K6" s="90">
        <v>3.8094802685116003</v>
      </c>
      <c r="L6" s="90">
        <v>3.2695781940957014</v>
      </c>
      <c r="M6" s="90">
        <v>5.2588782086913977</v>
      </c>
    </row>
    <row r="7" spans="1:15" s="2" customFormat="1" ht="12.75" customHeight="1" x14ac:dyDescent="0.2">
      <c r="A7" s="58" t="s">
        <v>27</v>
      </c>
      <c r="B7" s="12" t="s">
        <v>8</v>
      </c>
      <c r="C7" s="12" t="s">
        <v>18</v>
      </c>
      <c r="D7" s="24">
        <v>40834</v>
      </c>
      <c r="E7" s="113">
        <v>10.721</v>
      </c>
      <c r="F7" s="114">
        <v>7918</v>
      </c>
      <c r="G7" s="74">
        <v>2.82</v>
      </c>
      <c r="H7" s="74">
        <v>5.04</v>
      </c>
      <c r="I7" s="74">
        <v>2.08</v>
      </c>
      <c r="J7" s="74">
        <v>3.16</v>
      </c>
      <c r="K7" s="74"/>
      <c r="L7" s="74"/>
      <c r="M7" s="75">
        <v>3.59</v>
      </c>
    </row>
    <row r="8" spans="1:15" s="2" customFormat="1" ht="12.75" customHeight="1" x14ac:dyDescent="0.2">
      <c r="A8" s="58" t="s">
        <v>30</v>
      </c>
      <c r="B8" s="12" t="s">
        <v>8</v>
      </c>
      <c r="C8" s="12" t="s">
        <v>18</v>
      </c>
      <c r="D8" s="24">
        <v>36738</v>
      </c>
      <c r="E8" s="92">
        <v>88.713266000000004</v>
      </c>
      <c r="F8" s="25">
        <v>47291</v>
      </c>
      <c r="G8" s="106">
        <v>3.7</v>
      </c>
      <c r="H8" s="97">
        <v>5.48</v>
      </c>
      <c r="I8" s="97">
        <v>3.37</v>
      </c>
      <c r="J8" s="97">
        <v>4.16</v>
      </c>
      <c r="K8" s="106">
        <v>4.37</v>
      </c>
      <c r="L8" s="106">
        <v>3.96</v>
      </c>
      <c r="M8" s="106">
        <v>4.76</v>
      </c>
    </row>
    <row r="9" spans="1:15" ht="12.75" customHeight="1" x14ac:dyDescent="0.2">
      <c r="A9" s="59" t="s">
        <v>11</v>
      </c>
      <c r="B9" s="26" t="s">
        <v>8</v>
      </c>
      <c r="C9" s="26" t="s">
        <v>18</v>
      </c>
      <c r="D9" s="27">
        <v>37816</v>
      </c>
      <c r="E9" s="116">
        <v>39.517927939781202</v>
      </c>
      <c r="F9" s="117">
        <v>36655</v>
      </c>
      <c r="G9" s="118">
        <v>1.2647670992968374</v>
      </c>
      <c r="H9" s="118">
        <v>2.1321213674280859</v>
      </c>
      <c r="I9" s="118">
        <v>2.6311475884204016</v>
      </c>
      <c r="J9" s="118">
        <v>3.7403047917240029</v>
      </c>
      <c r="K9" s="13">
        <v>4.5668591055584962</v>
      </c>
      <c r="L9" s="115">
        <v>3.0352459349055394</v>
      </c>
      <c r="M9" s="13">
        <v>2.9643968001032306</v>
      </c>
    </row>
    <row r="10" spans="1:15" s="20" customFormat="1" ht="23.25" customHeight="1" x14ac:dyDescent="0.2">
      <c r="A10" s="41" t="s">
        <v>35</v>
      </c>
      <c r="B10" s="42" t="s">
        <v>8</v>
      </c>
      <c r="C10" s="42"/>
      <c r="D10" s="43"/>
      <c r="E10" s="63">
        <f>SUM(E6:E9)</f>
        <v>165.31270564978121</v>
      </c>
      <c r="F10" s="44">
        <f>SUM(F6:F9)</f>
        <v>121568</v>
      </c>
      <c r="G10" s="107">
        <f>($E$6*G6+$E$7*G7+$E$8*G8+$E$9*G9+$E$31*G31)/($E$10+$E$31)</f>
        <v>2.7505619308891185</v>
      </c>
      <c r="H10" s="108">
        <f>($E$6*H6+$E$7*H7+$E$8*H8+$E$9*H9+$E$31*H31)/($E$10+$E$31)</f>
        <v>4.0241520200500798</v>
      </c>
      <c r="I10" s="108">
        <f>($E$6*I6+$E$7*I7+$E$8*I8+$E$9*I9+$E$31*I31)/($E$10+$E$31)</f>
        <v>2.7319268762316438</v>
      </c>
      <c r="J10" s="108">
        <f>($E$6*J6+$E$8*J8+$E$9*J9+$E$31*J31+E7*J7)/($E$6+$E$8+$E$9+$E$31+E7)</f>
        <v>3.6350086871765357</v>
      </c>
      <c r="K10" s="108">
        <f>($E$6*K6+$E$8*K8+$E$9*K9+$E$31*K31)/($E$6+$E$8+$E$9+$E$31)</f>
        <v>4.329220335490727</v>
      </c>
      <c r="L10" s="108">
        <f>($E$6*L6+$E$8*L8+$E$9*L9+$E$31*L31)/($E$6+$E$8+$E$9+$E$31)</f>
        <v>3.6158894876368644</v>
      </c>
      <c r="M10" s="109">
        <f>($E$6*M6+$E$7*M7+$E$8*M8+$E$9*M9+$E$31*M31)/($E$10+$E$31)</f>
        <v>5.0547825228186909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12.60881891</v>
      </c>
      <c r="F13" s="64">
        <v>23267</v>
      </c>
      <c r="G13" s="73">
        <v>1.2347112647370933</v>
      </c>
      <c r="H13" s="90">
        <v>4.1130512967537669</v>
      </c>
      <c r="I13" s="90">
        <v>2.2513100446485135</v>
      </c>
      <c r="J13" s="90">
        <v>3.0385180125306777</v>
      </c>
      <c r="K13" s="90">
        <v>4.6329824603236425</v>
      </c>
      <c r="L13" s="90">
        <v>3.3743859139181209</v>
      </c>
      <c r="M13" s="90">
        <v>5.12368771860503</v>
      </c>
    </row>
    <row r="14" spans="1:15" x14ac:dyDescent="0.2">
      <c r="A14" s="61" t="s">
        <v>49</v>
      </c>
      <c r="B14" s="12" t="s">
        <v>8</v>
      </c>
      <c r="C14" s="12" t="s">
        <v>17</v>
      </c>
      <c r="D14" s="23">
        <v>36091</v>
      </c>
      <c r="E14" s="92">
        <v>0.40428899000000001</v>
      </c>
      <c r="F14" s="25">
        <v>495</v>
      </c>
      <c r="G14" s="74">
        <v>0.57535303896376622</v>
      </c>
      <c r="H14" s="74">
        <v>2.7895839902901898</v>
      </c>
      <c r="I14" s="74">
        <v>1.0082919363066711</v>
      </c>
      <c r="J14" s="74">
        <v>3.6438342620783049</v>
      </c>
      <c r="K14" s="74">
        <v>4.3202736869993874</v>
      </c>
      <c r="L14" s="115"/>
      <c r="M14" s="74">
        <v>4.4301001799326167</v>
      </c>
      <c r="N14" s="2"/>
      <c r="O14" s="2"/>
    </row>
    <row r="15" spans="1:15" ht="13.5" customHeight="1" x14ac:dyDescent="0.2">
      <c r="A15" s="61" t="s">
        <v>50</v>
      </c>
      <c r="B15" s="12" t="s">
        <v>8</v>
      </c>
      <c r="C15" s="12" t="s">
        <v>21</v>
      </c>
      <c r="D15" s="23">
        <v>39514</v>
      </c>
      <c r="E15" s="92">
        <v>5.825516E-2</v>
      </c>
      <c r="F15" s="25">
        <v>101</v>
      </c>
      <c r="G15" s="74">
        <v>0.46394137400582736</v>
      </c>
      <c r="H15" s="74">
        <v>3.7534715877852509</v>
      </c>
      <c r="I15" s="74">
        <v>7.022867560888546E-2</v>
      </c>
      <c r="J15" s="74">
        <v>1.9610593857189995</v>
      </c>
      <c r="K15" s="74">
        <v>3.0011295292242224</v>
      </c>
      <c r="L15" s="115"/>
      <c r="M15" s="74">
        <v>3.2375357980719333</v>
      </c>
      <c r="N15" s="2"/>
      <c r="O15" s="2"/>
    </row>
    <row r="16" spans="1:15" ht="12.75" customHeight="1" x14ac:dyDescent="0.2">
      <c r="A16" s="61" t="s">
        <v>51</v>
      </c>
      <c r="B16" s="12" t="s">
        <v>8</v>
      </c>
      <c r="C16" s="12" t="s">
        <v>16</v>
      </c>
      <c r="D16" s="23">
        <v>39514</v>
      </c>
      <c r="E16" s="92">
        <v>0.64472441000000003</v>
      </c>
      <c r="F16" s="25">
        <v>1705</v>
      </c>
      <c r="G16" s="74">
        <v>0.73510093571320656</v>
      </c>
      <c r="H16" s="74">
        <v>4.2940949839588294</v>
      </c>
      <c r="I16" s="74">
        <v>2.6729886076086506</v>
      </c>
      <c r="J16" s="74">
        <v>3.5169327955585139</v>
      </c>
      <c r="K16" s="74">
        <v>3.7023310576359547</v>
      </c>
      <c r="L16" s="115"/>
      <c r="M16" s="74">
        <v>4.5269918172910595</v>
      </c>
      <c r="N16" s="2"/>
      <c r="O16" s="2"/>
    </row>
    <row r="17" spans="1:15" ht="12.75" customHeight="1" x14ac:dyDescent="0.2">
      <c r="A17" s="58" t="s">
        <v>12</v>
      </c>
      <c r="B17" s="12" t="s">
        <v>8</v>
      </c>
      <c r="C17" s="12" t="s">
        <v>19</v>
      </c>
      <c r="D17" s="24">
        <v>40834</v>
      </c>
      <c r="E17" s="113">
        <v>5.9409999999999998</v>
      </c>
      <c r="F17" s="114">
        <v>4898</v>
      </c>
      <c r="G17" s="74">
        <v>0.35</v>
      </c>
      <c r="H17" s="74">
        <v>6.15</v>
      </c>
      <c r="I17" s="115">
        <v>2.74</v>
      </c>
      <c r="J17" s="115">
        <v>4.6100000000000003</v>
      </c>
      <c r="K17" s="115"/>
      <c r="L17" s="115"/>
      <c r="M17" s="74">
        <v>4.54</v>
      </c>
      <c r="N17" s="79"/>
      <c r="O17" s="2"/>
    </row>
    <row r="18" spans="1:15" x14ac:dyDescent="0.2">
      <c r="A18" s="58" t="s">
        <v>31</v>
      </c>
      <c r="B18" s="12" t="s">
        <v>8</v>
      </c>
      <c r="C18" s="12" t="s">
        <v>16</v>
      </c>
      <c r="D18" s="24">
        <v>38245</v>
      </c>
      <c r="E18" s="92">
        <v>39.684069999999998</v>
      </c>
      <c r="F18" s="25">
        <v>36208</v>
      </c>
      <c r="G18" s="106">
        <v>3.21</v>
      </c>
      <c r="H18" s="106">
        <v>6.45</v>
      </c>
      <c r="I18" s="97">
        <v>3.8</v>
      </c>
      <c r="J18" s="106">
        <v>4.91</v>
      </c>
      <c r="K18" s="97">
        <v>5.37</v>
      </c>
      <c r="L18" s="97">
        <v>3.87</v>
      </c>
      <c r="M18" s="97">
        <v>4.99</v>
      </c>
      <c r="N18" s="2"/>
      <c r="O18" s="2"/>
    </row>
    <row r="19" spans="1:15" ht="12.75" customHeight="1" x14ac:dyDescent="0.2">
      <c r="A19" s="60" t="s">
        <v>13</v>
      </c>
      <c r="B19" s="22" t="s">
        <v>8</v>
      </c>
      <c r="C19" s="22" t="s">
        <v>20</v>
      </c>
      <c r="D19" s="23">
        <v>37834</v>
      </c>
      <c r="E19" s="116">
        <v>47.813942529692802</v>
      </c>
      <c r="F19" s="117">
        <v>44580</v>
      </c>
      <c r="G19" s="118">
        <v>2.0399416811296422</v>
      </c>
      <c r="H19" s="118">
        <v>4.9063381112898652</v>
      </c>
      <c r="I19" s="118">
        <v>3.8780979495876444</v>
      </c>
      <c r="J19" s="118">
        <v>5.0515628350607633</v>
      </c>
      <c r="K19" s="13">
        <v>6.6762290450357753</v>
      </c>
      <c r="L19" s="115">
        <v>2.4943583615525178</v>
      </c>
      <c r="M19" s="13">
        <v>3.818974942572062</v>
      </c>
      <c r="N19" s="2"/>
      <c r="O19" s="2"/>
    </row>
    <row r="20" spans="1:15" ht="12.75" customHeight="1" x14ac:dyDescent="0.2">
      <c r="A20" s="61" t="s">
        <v>28</v>
      </c>
      <c r="B20" s="22" t="s">
        <v>8</v>
      </c>
      <c r="C20" s="22" t="s">
        <v>25</v>
      </c>
      <c r="D20" s="23">
        <v>39078</v>
      </c>
      <c r="E20" s="116">
        <v>13.014381951064101</v>
      </c>
      <c r="F20" s="117">
        <v>2317</v>
      </c>
      <c r="G20" s="118">
        <v>1.4756539937018198</v>
      </c>
      <c r="H20" s="118">
        <v>7.7180431910690572</v>
      </c>
      <c r="I20" s="118">
        <v>4.6778648672767487</v>
      </c>
      <c r="J20" s="118">
        <v>6.5835714334567363</v>
      </c>
      <c r="K20" s="13">
        <v>9.5184131005937154</v>
      </c>
      <c r="L20" s="115"/>
      <c r="M20" s="13">
        <v>0.280066817126845</v>
      </c>
      <c r="N20" s="2"/>
      <c r="O20" s="2"/>
    </row>
    <row r="21" spans="1:15" ht="12.75" customHeight="1" x14ac:dyDescent="0.2">
      <c r="A21" s="30" t="s">
        <v>34</v>
      </c>
      <c r="B21" s="31" t="s">
        <v>8</v>
      </c>
      <c r="C21" s="31"/>
      <c r="D21" s="32"/>
      <c r="E21" s="67">
        <f>SUM(E13:E20)</f>
        <v>120.16948195075689</v>
      </c>
      <c r="F21" s="33">
        <f>SUM(F13:F20)</f>
        <v>113571</v>
      </c>
      <c r="G21" s="110">
        <f>($E$13*G13+$E$14*G14+$E$15*G15+$E$16*G16+$E$17*G17+$E$18*G18+$E$19*G19+$E$20*G20)/$E$21</f>
        <v>2.1844932139504616</v>
      </c>
      <c r="H21" s="111">
        <f>($E$13*H13+$E$14*H14+$E$15*H15+$E$16*H16+$E$17*H17+$E$18*H18+$E$19*H19+$E$20*H20)/$E$21</f>
        <v>5.6879001631471588</v>
      </c>
      <c r="I21" s="111">
        <f>($E$13*I13+$E$14*I14+$E$15*I15+$E$16*I16+$E$17*I17+$E$18*I18+$E$19*I19+$E$20*I20)/$E$21</f>
        <v>3.6939987221024517</v>
      </c>
      <c r="J21" s="111">
        <f>($E$13*J13+$E$14*J14+$E$15*J15+$E$16*J16+$E$18*J18+$E$19*J19+$E$20*J20+E17*J17)/($E$21)</f>
        <v>4.9232135489983095</v>
      </c>
      <c r="K21" s="111">
        <f>($E$13*K13+$E$14*K14+$E$15*K15+$E$16*K16+$E$18*K18+$E$19*K19+$E$20*K20)/($E$21-$E$17)</f>
        <v>6.2937144010370352</v>
      </c>
      <c r="L21" s="111">
        <f>($E$13*L13+$E$19*L19+$E$18*L18)/($E$13+$E$19+$E$18)</f>
        <v>3.1505290361605218</v>
      </c>
      <c r="M21" s="112">
        <f>($E$13*M13+$E$14*M14+$E$15*M15+$E$16*M16+$E$17*M17+$E$18*M18+$E$19*M19+$E$20*M20)/$E$21</f>
        <v>4.0005394303889057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1.0794946958157869</v>
      </c>
      <c r="F23" s="64">
        <v>630</v>
      </c>
      <c r="G23" s="73">
        <v>5.5702320186159548</v>
      </c>
      <c r="H23" s="75">
        <v>7.1668083525120663</v>
      </c>
      <c r="I23" s="75">
        <v>2.1332224566678493</v>
      </c>
      <c r="J23" s="75">
        <v>1.8340591797438188</v>
      </c>
      <c r="K23" s="75">
        <v>3.7085902149433192</v>
      </c>
      <c r="L23" s="75">
        <v>3.9762038119332654</v>
      </c>
      <c r="M23" s="90">
        <v>4.0698755677897713</v>
      </c>
    </row>
    <row r="24" spans="1:15" ht="12.75" customHeight="1" x14ac:dyDescent="0.2">
      <c r="A24" s="60" t="s">
        <v>14</v>
      </c>
      <c r="B24" s="22" t="s">
        <v>9</v>
      </c>
      <c r="C24" s="22" t="s">
        <v>20</v>
      </c>
      <c r="D24" s="23">
        <v>37816</v>
      </c>
      <c r="E24" s="116">
        <v>3.3144039565890999</v>
      </c>
      <c r="F24" s="117">
        <v>16707</v>
      </c>
      <c r="G24" s="13">
        <v>3.9067069986130853</v>
      </c>
      <c r="H24" s="13">
        <v>5.6708396397399108</v>
      </c>
      <c r="I24" s="13">
        <v>2.2274013606607301</v>
      </c>
      <c r="J24" s="13">
        <v>3.09295855009315</v>
      </c>
      <c r="K24" s="13">
        <v>3.7309014956993014</v>
      </c>
      <c r="L24" s="115">
        <v>1.5327422551436376</v>
      </c>
      <c r="M24" s="13">
        <v>2.2046271804082807</v>
      </c>
    </row>
    <row r="25" spans="1:15" ht="12.75" customHeight="1" x14ac:dyDescent="0.2">
      <c r="A25" s="30" t="s">
        <v>34</v>
      </c>
      <c r="B25" s="31" t="s">
        <v>9</v>
      </c>
      <c r="C25" s="35"/>
      <c r="D25" s="36"/>
      <c r="E25" s="68">
        <f>SUM(E23:E24)</f>
        <v>4.3938986524048866</v>
      </c>
      <c r="F25" s="34">
        <f>SUM(F23:F24)</f>
        <v>17337</v>
      </c>
      <c r="G25" s="110">
        <f t="shared" ref="G25:M25" si="0">($E$23*G23+$E$24*G24)/$E$25</f>
        <v>4.3154024596399534</v>
      </c>
      <c r="H25" s="111">
        <f t="shared" si="0"/>
        <v>6.0383698033362068</v>
      </c>
      <c r="I25" s="111">
        <f t="shared" si="0"/>
        <v>2.2042634516280732</v>
      </c>
      <c r="J25" s="111">
        <f t="shared" si="0"/>
        <v>2.7836716729108244</v>
      </c>
      <c r="K25" s="111">
        <f t="shared" si="0"/>
        <v>3.7254200517384226</v>
      </c>
      <c r="L25" s="112">
        <f t="shared" si="0"/>
        <v>2.1330528218292191</v>
      </c>
      <c r="M25" s="112">
        <f t="shared" si="0"/>
        <v>2.662882115226866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124.56338060316178</v>
      </c>
      <c r="F27" s="34">
        <f>F25+F21</f>
        <v>130908</v>
      </c>
      <c r="G27" s="81">
        <f>($E$21*G21+$E$25*G25)/$E$27</f>
        <v>2.2596597614357221</v>
      </c>
      <c r="H27" s="81">
        <f t="shared" ref="H27:M27" si="1">($E$21*H21+$E$25*H25)/$E$27</f>
        <v>5.7002627698159793</v>
      </c>
      <c r="I27" s="81">
        <f t="shared" si="1"/>
        <v>3.6414492026073839</v>
      </c>
      <c r="J27" s="81">
        <f t="shared" si="1"/>
        <v>4.8477424906456594</v>
      </c>
      <c r="K27" s="81">
        <f t="shared" si="1"/>
        <v>6.2031193559626416</v>
      </c>
      <c r="L27" s="81">
        <f>($E$21*L21+$E$25*L25)/$E$27</f>
        <v>3.1146381720449496</v>
      </c>
      <c r="M27" s="81">
        <f t="shared" si="1"/>
        <v>3.9533543696912128</v>
      </c>
    </row>
    <row r="28" spans="1:15" s="20" customFormat="1" ht="26.25" customHeight="1" x14ac:dyDescent="0.2">
      <c r="A28" s="220" t="s">
        <v>37</v>
      </c>
      <c r="B28" s="220"/>
      <c r="C28" s="220"/>
      <c r="D28" s="220"/>
      <c r="E28" s="70">
        <f>SUM(E10,E27)</f>
        <v>289.87608625294297</v>
      </c>
      <c r="F28" s="53">
        <f>SUM(F10, F27)</f>
        <v>252476</v>
      </c>
      <c r="G28" s="179"/>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64.188000000000002</v>
      </c>
      <c r="F31" s="94">
        <v>12768</v>
      </c>
      <c r="G31" s="95">
        <v>2.4500000000000002</v>
      </c>
      <c r="H31" s="95">
        <v>2.9</v>
      </c>
      <c r="I31" s="95">
        <v>2.37</v>
      </c>
      <c r="J31" s="95">
        <v>3.31</v>
      </c>
      <c r="K31" s="95">
        <v>4.34</v>
      </c>
      <c r="L31" s="95">
        <v>3.64</v>
      </c>
      <c r="M31" s="96">
        <v>6.91</v>
      </c>
    </row>
    <row r="32" spans="1:15" ht="31.5" customHeight="1" x14ac:dyDescent="0.2">
      <c r="A32" s="224" t="s">
        <v>26</v>
      </c>
      <c r="B32" s="225"/>
      <c r="C32" s="225"/>
      <c r="D32" s="226"/>
      <c r="E32" s="101">
        <f>E28+E31</f>
        <v>354.06408625294296</v>
      </c>
      <c r="F32" s="102">
        <f>F28+F31</f>
        <v>265244</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76" t="s">
        <v>42</v>
      </c>
      <c r="B35" s="177"/>
      <c r="C35" s="177"/>
      <c r="D35" s="177"/>
      <c r="E35" s="177"/>
      <c r="F35" s="177"/>
      <c r="G35" s="177"/>
      <c r="H35" s="177"/>
      <c r="I35" s="177"/>
      <c r="J35" s="177"/>
      <c r="K35" s="177"/>
      <c r="L35" s="177"/>
      <c r="M35" s="178"/>
    </row>
    <row r="36" spans="1:13" ht="22.5" customHeight="1" x14ac:dyDescent="0.2">
      <c r="B36" s="11"/>
      <c r="C36" s="11"/>
      <c r="D36" s="11"/>
      <c r="E36" s="213" t="s">
        <v>39</v>
      </c>
      <c r="F36" s="214"/>
      <c r="G36" s="84">
        <f>($E$10*G10+$E$21*G21+$E$25*G25+$E$31*G31)/$E$32</f>
        <v>2.5233688714524578</v>
      </c>
      <c r="H36" s="84">
        <f>($E$10*H10+$E$21*H21+$E$25*H25+$E$31*H31)/$E$32</f>
        <v>4.4100283534536358</v>
      </c>
      <c r="I36" s="84">
        <f t="shared" ref="I36:M36" si="2">($E$10*I10+$E$21*I21+$E$25*I25+$E$31*I31)/$E$32</f>
        <v>2.9862927293995862</v>
      </c>
      <c r="J36" s="84">
        <f t="shared" si="2"/>
        <v>4.0027403204445937</v>
      </c>
      <c r="K36" s="84">
        <f t="shared" si="2"/>
        <v>4.9904314865059352</v>
      </c>
      <c r="L36" s="84">
        <f t="shared" si="2"/>
        <v>3.4439151044715346</v>
      </c>
      <c r="M36" s="84">
        <f t="shared" si="2"/>
        <v>5.0036197092968466</v>
      </c>
    </row>
    <row r="37" spans="1:13" ht="16.5" customHeight="1" x14ac:dyDescent="0.2">
      <c r="B37" s="10"/>
      <c r="C37" s="10"/>
      <c r="D37" s="10"/>
      <c r="E37" s="16"/>
      <c r="F37" s="105" t="s">
        <v>45</v>
      </c>
      <c r="G37" s="85"/>
      <c r="H37" s="85">
        <f>H36-'Aug-2016'!H36</f>
        <v>1.3842804487064155</v>
      </c>
      <c r="I37" s="85">
        <f>I36-'Aug-2016'!I36</f>
        <v>-2.1054693714829931E-2</v>
      </c>
      <c r="J37" s="85">
        <f>J36-'Aug-2016'!J36</f>
        <v>-0.26373397256028408</v>
      </c>
      <c r="K37" s="85">
        <f>K36-'Aug-2016'!K36</f>
        <v>0.36131055560165404</v>
      </c>
      <c r="L37" s="85">
        <f>L36-'Aug-2016'!L36</f>
        <v>-6.4413666967336081E-2</v>
      </c>
      <c r="M37" s="85">
        <f>M36-'Aug-2016'!M36</f>
        <v>-2.9127649806082623E-2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80</v>
      </c>
      <c r="B41" s="86"/>
      <c r="C41" s="86"/>
      <c r="D41" s="20"/>
      <c r="E41" s="87">
        <f>E32-'DEC-2015'!E32</f>
        <v>23.666635505513796</v>
      </c>
      <c r="F41" s="88">
        <f>E41/'DEC-2015'!E32</f>
        <v>7.1630805419275606E-2</v>
      </c>
      <c r="H41" s="6"/>
      <c r="I41" s="6"/>
      <c r="J41" s="6"/>
      <c r="K41" s="6"/>
      <c r="L41" s="6"/>
      <c r="M41" s="6"/>
    </row>
    <row r="42" spans="1:13" x14ac:dyDescent="0.2">
      <c r="A42" s="20" t="s">
        <v>81</v>
      </c>
      <c r="B42" s="86"/>
      <c r="C42" s="86"/>
      <c r="D42" s="20"/>
      <c r="E42" s="89">
        <f>F32-'DEC-2015'!F32</f>
        <v>10232</v>
      </c>
      <c r="F42" s="88">
        <f>E42/'DEC-2015'!F32</f>
        <v>4.0123602026571302E-2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82</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84" t="s">
        <v>3</v>
      </c>
      <c r="I3" s="184" t="s">
        <v>4</v>
      </c>
      <c r="J3" s="184" t="s">
        <v>5</v>
      </c>
      <c r="K3" s="184" t="s">
        <v>6</v>
      </c>
      <c r="L3" s="71" t="s">
        <v>41</v>
      </c>
      <c r="M3" s="185"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26.399000000000001</v>
      </c>
      <c r="F6" s="64">
        <v>29664</v>
      </c>
      <c r="G6" s="73">
        <v>2.2357240466221335</v>
      </c>
      <c r="H6" s="90">
        <v>1.5025626117791679</v>
      </c>
      <c r="I6" s="90">
        <v>1.7711788179510579</v>
      </c>
      <c r="J6" s="90">
        <v>2.2742806697665596</v>
      </c>
      <c r="K6" s="90">
        <v>3.5494338628264011</v>
      </c>
      <c r="L6" s="90">
        <v>3.1215041478126704</v>
      </c>
      <c r="M6" s="90">
        <v>5.2165302773942823</v>
      </c>
    </row>
    <row r="7" spans="1:15" s="2" customFormat="1" ht="12.75" customHeight="1" x14ac:dyDescent="0.2">
      <c r="A7" s="58" t="s">
        <v>27</v>
      </c>
      <c r="B7" s="12" t="s">
        <v>8</v>
      </c>
      <c r="C7" s="12" t="s">
        <v>18</v>
      </c>
      <c r="D7" s="24">
        <v>40834</v>
      </c>
      <c r="E7" s="113">
        <v>10.977</v>
      </c>
      <c r="F7" s="114">
        <v>8167</v>
      </c>
      <c r="G7" s="74">
        <v>2.31</v>
      </c>
      <c r="H7" s="74">
        <v>1.1200000000000001</v>
      </c>
      <c r="I7" s="74">
        <v>1.75</v>
      </c>
      <c r="J7" s="74">
        <v>2.66</v>
      </c>
      <c r="K7" s="74">
        <v>3.45</v>
      </c>
      <c r="L7" s="74"/>
      <c r="M7" s="75">
        <v>3.42</v>
      </c>
    </row>
    <row r="8" spans="1:15" s="2" customFormat="1" ht="12.75" customHeight="1" x14ac:dyDescent="0.2">
      <c r="A8" s="58" t="s">
        <v>30</v>
      </c>
      <c r="B8" s="12" t="s">
        <v>8</v>
      </c>
      <c r="C8" s="12" t="s">
        <v>18</v>
      </c>
      <c r="D8" s="24">
        <v>36738</v>
      </c>
      <c r="E8" s="92">
        <v>89.381681</v>
      </c>
      <c r="F8" s="25">
        <v>47442</v>
      </c>
      <c r="G8" s="106">
        <v>3.44</v>
      </c>
      <c r="H8" s="97">
        <v>2.76</v>
      </c>
      <c r="I8" s="97">
        <v>3.1</v>
      </c>
      <c r="J8" s="97">
        <v>3.83</v>
      </c>
      <c r="K8" s="106">
        <v>3.97</v>
      </c>
      <c r="L8" s="106">
        <v>3.9</v>
      </c>
      <c r="M8" s="106">
        <v>4.71</v>
      </c>
    </row>
    <row r="9" spans="1:15" ht="12.75" customHeight="1" x14ac:dyDescent="0.2">
      <c r="A9" s="59" t="s">
        <v>11</v>
      </c>
      <c r="B9" s="26" t="s">
        <v>8</v>
      </c>
      <c r="C9" s="26" t="s">
        <v>18</v>
      </c>
      <c r="D9" s="27">
        <v>37816</v>
      </c>
      <c r="E9" s="116">
        <v>40.480987878016698</v>
      </c>
      <c r="F9" s="117">
        <v>37224</v>
      </c>
      <c r="G9" s="118">
        <v>1.2121160232426265</v>
      </c>
      <c r="H9" s="118">
        <v>1.4275969159732282</v>
      </c>
      <c r="I9" s="118">
        <v>2.1022407201717996</v>
      </c>
      <c r="J9" s="118">
        <v>3.4678921605972635</v>
      </c>
      <c r="K9" s="13">
        <v>4.1371054685241937</v>
      </c>
      <c r="L9" s="115">
        <v>3.029002446986806</v>
      </c>
      <c r="M9" s="13">
        <v>2.9411867396539781</v>
      </c>
    </row>
    <row r="10" spans="1:15" s="20" customFormat="1" ht="23.25" customHeight="1" x14ac:dyDescent="0.2">
      <c r="A10" s="41" t="s">
        <v>35</v>
      </c>
      <c r="B10" s="42" t="s">
        <v>8</v>
      </c>
      <c r="C10" s="42"/>
      <c r="D10" s="43"/>
      <c r="E10" s="63">
        <f>SUM(E6:E9)</f>
        <v>167.23866887801671</v>
      </c>
      <c r="F10" s="44">
        <f>SUM(F6:F9)</f>
        <v>122497</v>
      </c>
      <c r="G10" s="107">
        <f>($E$6*G6+$E$7*G7+$E$8*G8+$E$9*G9+$E$31*G31)/($E$10+$E$31)</f>
        <v>2.6068797399956902</v>
      </c>
      <c r="H10" s="108">
        <f>($E$6*H6+$E$7*H7+$E$8*H8+$E$9*H9+$E$31*H31)/($E$10+$E$31)</f>
        <v>2.1115252064898256</v>
      </c>
      <c r="I10" s="108">
        <f>($E$6*I6+$E$7*I7+$E$8*I8+$E$9*I9+$E$31*I31)/($E$10+$E$31)</f>
        <v>2.4628335304778313</v>
      </c>
      <c r="J10" s="108">
        <f>($E$6*J6+$E$7*J7+$E$8*J8+$E$9*J9+$E$31*J31)/($E$10+$E$31)</f>
        <v>3.3116184666706201</v>
      </c>
      <c r="K10" s="108">
        <f>($E$6*K6+$E$7*K7+$E$8*K8+$E$9*K9+$E$31*K31)/($E$10+$E$31)</f>
        <v>3.9349576725555826</v>
      </c>
      <c r="L10" s="108">
        <f>($E$6*L6+$E$8*L8+$E$9*L9+$E$31*L31)/($E$6+$E$8+$E$9+$E$31)</f>
        <v>3.5128426630184624</v>
      </c>
      <c r="M10" s="109">
        <f>($E$6*M6+$E$7*M7+$E$8*M8+$E$9*M9+$E$31*M31)/($E$10+$E$31)</f>
        <v>5.0003839578345408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12.69</v>
      </c>
      <c r="F13" s="64">
        <v>23244</v>
      </c>
      <c r="G13" s="73">
        <v>0.84472195253915627</v>
      </c>
      <c r="H13" s="90">
        <v>0.10811448890077902</v>
      </c>
      <c r="I13" s="90">
        <v>2.1320860060340951</v>
      </c>
      <c r="J13" s="90">
        <v>2.5069553314159387</v>
      </c>
      <c r="K13" s="90">
        <v>4.3435988373978329</v>
      </c>
      <c r="L13" s="90">
        <v>3.1649755101907706</v>
      </c>
      <c r="M13" s="90">
        <v>5.0733810253536404</v>
      </c>
    </row>
    <row r="14" spans="1:15" x14ac:dyDescent="0.2">
      <c r="A14" s="61" t="s">
        <v>49</v>
      </c>
      <c r="B14" s="12" t="s">
        <v>8</v>
      </c>
      <c r="C14" s="12" t="s">
        <v>17</v>
      </c>
      <c r="D14" s="23">
        <v>36091</v>
      </c>
      <c r="E14" s="92">
        <v>0.40292020000000001</v>
      </c>
      <c r="F14" s="25">
        <v>493</v>
      </c>
      <c r="G14" s="74">
        <v>0.46735209148980328</v>
      </c>
      <c r="H14" s="74">
        <v>8.5448317116032513E-2</v>
      </c>
      <c r="I14" s="74">
        <v>0.97645804238477574</v>
      </c>
      <c r="J14" s="74">
        <v>3.4735949861925075</v>
      </c>
      <c r="K14" s="74">
        <v>4.3617579752135205</v>
      </c>
      <c r="L14" s="115"/>
      <c r="M14" s="74">
        <v>4.3705820564461817</v>
      </c>
      <c r="N14" s="2"/>
      <c r="O14" s="2"/>
    </row>
    <row r="15" spans="1:15" ht="13.5" customHeight="1" x14ac:dyDescent="0.2">
      <c r="A15" s="61" t="s">
        <v>50</v>
      </c>
      <c r="B15" s="12" t="s">
        <v>8</v>
      </c>
      <c r="C15" s="12" t="s">
        <v>21</v>
      </c>
      <c r="D15" s="23">
        <v>39514</v>
      </c>
      <c r="E15" s="92">
        <v>5.8576410000000002E-2</v>
      </c>
      <c r="F15" s="25">
        <v>101</v>
      </c>
      <c r="G15" s="74">
        <v>0.68723672332635655</v>
      </c>
      <c r="H15" s="74">
        <v>-0.32907547080888166</v>
      </c>
      <c r="I15" s="74">
        <v>-0.11989578121495148</v>
      </c>
      <c r="J15" s="74">
        <v>1.6490417075738284</v>
      </c>
      <c r="K15" s="74">
        <v>3.1189715571500187</v>
      </c>
      <c r="L15" s="115"/>
      <c r="M15" s="74">
        <v>3.2315224995256964</v>
      </c>
      <c r="N15" s="2"/>
      <c r="O15" s="2"/>
    </row>
    <row r="16" spans="1:15" ht="12.75" customHeight="1" x14ac:dyDescent="0.2">
      <c r="A16" s="61" t="s">
        <v>51</v>
      </c>
      <c r="B16" s="12" t="s">
        <v>8</v>
      </c>
      <c r="C16" s="12" t="s">
        <v>16</v>
      </c>
      <c r="D16" s="23">
        <v>39514</v>
      </c>
      <c r="E16" s="92">
        <v>0.64566968000000002</v>
      </c>
      <c r="F16" s="25">
        <v>1707</v>
      </c>
      <c r="G16" s="74">
        <v>0.82891432588980685</v>
      </c>
      <c r="H16" s="74">
        <v>-0.29746478166694512</v>
      </c>
      <c r="I16" s="74">
        <v>2.2919622253719574</v>
      </c>
      <c r="J16" s="74">
        <v>3.3039972804145501</v>
      </c>
      <c r="K16" s="74">
        <v>3.7780647678454349</v>
      </c>
      <c r="L16" s="115"/>
      <c r="M16" s="74">
        <v>4.491545581557288</v>
      </c>
      <c r="N16" s="2"/>
      <c r="O16" s="2"/>
    </row>
    <row r="17" spans="1:15" ht="12.75" customHeight="1" x14ac:dyDescent="0.2">
      <c r="A17" s="58" t="s">
        <v>12</v>
      </c>
      <c r="B17" s="12" t="s">
        <v>8</v>
      </c>
      <c r="C17" s="12" t="s">
        <v>19</v>
      </c>
      <c r="D17" s="24">
        <v>40834</v>
      </c>
      <c r="E17" s="113">
        <v>6.0960000000000001</v>
      </c>
      <c r="F17" s="114">
        <v>5003</v>
      </c>
      <c r="G17" s="74">
        <v>0.43</v>
      </c>
      <c r="H17" s="74">
        <v>-1.1299999999999999</v>
      </c>
      <c r="I17" s="115">
        <v>2.84</v>
      </c>
      <c r="J17" s="115">
        <v>4.07</v>
      </c>
      <c r="K17" s="115">
        <v>4.51</v>
      </c>
      <c r="L17" s="115"/>
      <c r="M17" s="74">
        <v>4.4800000000000004</v>
      </c>
      <c r="N17" s="79"/>
      <c r="O17" s="2"/>
    </row>
    <row r="18" spans="1:15" x14ac:dyDescent="0.2">
      <c r="A18" s="58" t="s">
        <v>31</v>
      </c>
      <c r="B18" s="12" t="s">
        <v>8</v>
      </c>
      <c r="C18" s="12" t="s">
        <v>16</v>
      </c>
      <c r="D18" s="24">
        <v>38245</v>
      </c>
      <c r="E18" s="92">
        <v>39.828704000000002</v>
      </c>
      <c r="F18" s="25">
        <v>36252</v>
      </c>
      <c r="G18" s="106">
        <v>2.92</v>
      </c>
      <c r="H18" s="106">
        <v>2.0099999999999998</v>
      </c>
      <c r="I18" s="97">
        <v>3.57</v>
      </c>
      <c r="J18" s="106">
        <v>4.41</v>
      </c>
      <c r="K18" s="97">
        <v>4.82</v>
      </c>
      <c r="L18" s="97">
        <v>3.81</v>
      </c>
      <c r="M18" s="97">
        <v>4.93</v>
      </c>
      <c r="N18" s="2"/>
      <c r="O18" s="2"/>
    </row>
    <row r="19" spans="1:15" ht="12.75" customHeight="1" x14ac:dyDescent="0.2">
      <c r="A19" s="60" t="s">
        <v>13</v>
      </c>
      <c r="B19" s="22" t="s">
        <v>8</v>
      </c>
      <c r="C19" s="22" t="s">
        <v>20</v>
      </c>
      <c r="D19" s="23">
        <v>37834</v>
      </c>
      <c r="E19" s="116">
        <v>48.597203056997003</v>
      </c>
      <c r="F19" s="117">
        <v>44995</v>
      </c>
      <c r="G19" s="118">
        <v>2.3897079013029732</v>
      </c>
      <c r="H19" s="118">
        <v>2.1074509812165854</v>
      </c>
      <c r="I19" s="118">
        <v>3.7696830269089654</v>
      </c>
      <c r="J19" s="118">
        <v>4.5197029100024766</v>
      </c>
      <c r="K19" s="13">
        <v>6.0149841920653202</v>
      </c>
      <c r="L19" s="115">
        <v>2.213044480676829</v>
      </c>
      <c r="M19" s="13">
        <v>3.8208439458079502</v>
      </c>
      <c r="N19" s="2"/>
      <c r="O19" s="2"/>
    </row>
    <row r="20" spans="1:15" ht="12.75" customHeight="1" x14ac:dyDescent="0.2">
      <c r="A20" s="61" t="s">
        <v>28</v>
      </c>
      <c r="B20" s="22" t="s">
        <v>8</v>
      </c>
      <c r="C20" s="22" t="s">
        <v>25</v>
      </c>
      <c r="D20" s="23">
        <v>39078</v>
      </c>
      <c r="E20" s="116">
        <v>13.255635661943799</v>
      </c>
      <c r="F20" s="117">
        <v>16801</v>
      </c>
      <c r="G20" s="118">
        <v>2.3288910047403633</v>
      </c>
      <c r="H20" s="118">
        <v>0.61396979323893319</v>
      </c>
      <c r="I20" s="118">
        <v>4.2612025436919554</v>
      </c>
      <c r="J20" s="118">
        <v>5.8682419157856769</v>
      </c>
      <c r="K20" s="13">
        <v>8.2156354371311089</v>
      </c>
      <c r="L20" s="115"/>
      <c r="M20" s="13">
        <v>0.36288702349631663</v>
      </c>
      <c r="N20" s="2"/>
      <c r="O20" s="2"/>
    </row>
    <row r="21" spans="1:15" ht="12.75" customHeight="1" x14ac:dyDescent="0.2">
      <c r="A21" s="30" t="s">
        <v>34</v>
      </c>
      <c r="B21" s="31" t="s">
        <v>8</v>
      </c>
      <c r="C21" s="31"/>
      <c r="D21" s="32"/>
      <c r="E21" s="67">
        <f>SUM(E13:E20)</f>
        <v>121.5747090089408</v>
      </c>
      <c r="F21" s="33">
        <f>SUM(F13:F20)</f>
        <v>128596</v>
      </c>
      <c r="G21" s="110">
        <f>($E$13*G13+$E$14*G14+$E$15*G15+$E$16*G16+$E$17*G17+$E$18*G18+$E$19*G19+$E$20*G20)/$E$21</f>
        <v>2.2817939405872556</v>
      </c>
      <c r="H21" s="111">
        <f>($E$13*H13+$E$14*H14+$E$15*H15+$E$16*H16+$E$17*H17+$E$18*H18+$E$19*H19+$E$20*H20)/$E$21</f>
        <v>1.5210158541029195</v>
      </c>
      <c r="I21" s="111">
        <f>($E$13*I13+$E$14*I14+$E$15*I15+$E$16*I16+$E$17*I17+$E$18*I18+$E$19*I19+$E$20*I20)/$E$21</f>
        <v>3.5213289855141463</v>
      </c>
      <c r="J21" s="111">
        <f>($E$13*J13+$E$14*J14+$E$15*J15+$E$16*J16+$E$18*J18+$E$19*J19+$E$20*J20+$E$17*J17)/($E$21)</f>
        <v>4.3868518084582107</v>
      </c>
      <c r="K21" s="111">
        <f>($E$13*K13+$E$14*K14+$E$15*K15+$E$16*K16+$E$18*K18+$E$19*K19+$E$20*K20+$E$17*K17)/($E$21)</f>
        <v>5.5947654470721817</v>
      </c>
      <c r="L21" s="111">
        <f>($E$13*L13+$E$19*L19+$E$18*L18)/($E$13+$E$19+$E$18)</f>
        <v>2.9615387151414305</v>
      </c>
      <c r="M21" s="112">
        <f>($E$13*M13+$E$14*M14+$E$15*M15+$E$16*M16+$E$17*M17+$E$18*M18+$E$19*M19+$E$20*M20)/$E$21</f>
        <v>3.9760717398150227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1.093</v>
      </c>
      <c r="F23" s="64">
        <v>629</v>
      </c>
      <c r="G23" s="73">
        <v>4.2194192101465218</v>
      </c>
      <c r="H23" s="75">
        <v>2.2530457599365894</v>
      </c>
      <c r="I23" s="75">
        <v>1.411065512567955</v>
      </c>
      <c r="J23" s="75">
        <v>0.95937240277601532</v>
      </c>
      <c r="K23" s="75">
        <v>2.6904284815724155</v>
      </c>
      <c r="L23" s="75">
        <v>3.5389404264846158</v>
      </c>
      <c r="M23" s="90">
        <v>3.9094597402744569</v>
      </c>
    </row>
    <row r="24" spans="1:15" ht="12.75" customHeight="1" x14ac:dyDescent="0.2">
      <c r="A24" s="60" t="s">
        <v>14</v>
      </c>
      <c r="B24" s="22" t="s">
        <v>9</v>
      </c>
      <c r="C24" s="22" t="s">
        <v>20</v>
      </c>
      <c r="D24" s="23">
        <v>37816</v>
      </c>
      <c r="E24" s="116">
        <v>3.7079121989027</v>
      </c>
      <c r="F24" s="117">
        <v>2311</v>
      </c>
      <c r="G24" s="13">
        <v>2.846554736671858</v>
      </c>
      <c r="H24" s="13">
        <v>1.9931641929203492</v>
      </c>
      <c r="I24" s="13">
        <v>1.2532922247099343</v>
      </c>
      <c r="J24" s="13">
        <v>2.2275642298327014</v>
      </c>
      <c r="K24" s="13">
        <v>2.6791632006593957</v>
      </c>
      <c r="L24" s="115">
        <v>1.236240992408244</v>
      </c>
      <c r="M24" s="13">
        <v>2.1117154857521747</v>
      </c>
    </row>
    <row r="25" spans="1:15" ht="12.75" customHeight="1" x14ac:dyDescent="0.2">
      <c r="A25" s="30" t="s">
        <v>34</v>
      </c>
      <c r="B25" s="31" t="s">
        <v>9</v>
      </c>
      <c r="C25" s="35"/>
      <c r="D25" s="36"/>
      <c r="E25" s="68">
        <f>SUM(E23:E24)</f>
        <v>4.8009121989026999</v>
      </c>
      <c r="F25" s="34">
        <f>SUM(F23:F24)</f>
        <v>2940</v>
      </c>
      <c r="G25" s="110">
        <f t="shared" ref="G25:M25" si="0">($E$23*G23+$E$24*G24)/$E$25</f>
        <v>3.1591080197439316</v>
      </c>
      <c r="H25" s="111">
        <f t="shared" si="0"/>
        <v>2.0523301474265936</v>
      </c>
      <c r="I25" s="111">
        <f t="shared" si="0"/>
        <v>1.2892116909455866</v>
      </c>
      <c r="J25" s="111">
        <f t="shared" si="0"/>
        <v>1.9388412518766012</v>
      </c>
      <c r="K25" s="111">
        <f t="shared" si="0"/>
        <v>2.681727911599276</v>
      </c>
      <c r="L25" s="112">
        <f t="shared" si="0"/>
        <v>1.7604852145835062</v>
      </c>
      <c r="M25" s="112">
        <f t="shared" si="0"/>
        <v>2.5209990528713488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126.37562120784349</v>
      </c>
      <c r="F27" s="34">
        <f>F25+F21</f>
        <v>131536</v>
      </c>
      <c r="G27" s="81">
        <f>($E$21*G21+$E$25*G25)/$E$27</f>
        <v>2.315122424551463</v>
      </c>
      <c r="H27" s="81">
        <f t="shared" ref="H27:M27" si="1">($E$21*H21+$E$25*H25)/$E$27</f>
        <v>1.5412000735582987</v>
      </c>
      <c r="I27" s="81">
        <f t="shared" si="1"/>
        <v>3.4365325742565389</v>
      </c>
      <c r="J27" s="81">
        <f t="shared" si="1"/>
        <v>4.2938537789980336</v>
      </c>
      <c r="K27" s="81">
        <f t="shared" si="1"/>
        <v>5.4841014020115253</v>
      </c>
      <c r="L27" s="81">
        <f>($E$21*L21+$E$25*L25)/$E$27</f>
        <v>2.9159116207125138</v>
      </c>
      <c r="M27" s="81">
        <f t="shared" si="1"/>
        <v>3.9207946527766215</v>
      </c>
    </row>
    <row r="28" spans="1:15" s="20" customFormat="1" ht="26.25" customHeight="1" x14ac:dyDescent="0.2">
      <c r="A28" s="220" t="s">
        <v>37</v>
      </c>
      <c r="B28" s="220"/>
      <c r="C28" s="220"/>
      <c r="D28" s="220"/>
      <c r="E28" s="70">
        <f>SUM(E10,E27)</f>
        <v>293.6142900858602</v>
      </c>
      <c r="F28" s="53">
        <f>SUM(F10, F27)</f>
        <v>254033</v>
      </c>
      <c r="G28" s="183"/>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64.350999999999999</v>
      </c>
      <c r="F31" s="94">
        <v>12790</v>
      </c>
      <c r="G31" s="95">
        <v>2.5299999999999998</v>
      </c>
      <c r="H31" s="95">
        <v>2.06</v>
      </c>
      <c r="I31" s="95">
        <v>2.21</v>
      </c>
      <c r="J31" s="95">
        <v>3.03</v>
      </c>
      <c r="K31" s="95">
        <v>4</v>
      </c>
      <c r="L31" s="95">
        <v>3.44</v>
      </c>
      <c r="M31" s="96">
        <v>6.88</v>
      </c>
    </row>
    <row r="32" spans="1:15" ht="31.5" customHeight="1" x14ac:dyDescent="0.2">
      <c r="A32" s="224" t="s">
        <v>26</v>
      </c>
      <c r="B32" s="225"/>
      <c r="C32" s="225"/>
      <c r="D32" s="226"/>
      <c r="E32" s="101">
        <f>E28+E31</f>
        <v>357.9652900858602</v>
      </c>
      <c r="F32" s="102">
        <f>F28+F31</f>
        <v>266823</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80" t="s">
        <v>42</v>
      </c>
      <c r="B35" s="181"/>
      <c r="C35" s="181"/>
      <c r="D35" s="181"/>
      <c r="E35" s="181"/>
      <c r="F35" s="181"/>
      <c r="G35" s="181"/>
      <c r="H35" s="181"/>
      <c r="I35" s="181"/>
      <c r="J35" s="181"/>
      <c r="K35" s="181"/>
      <c r="L35" s="181"/>
      <c r="M35" s="182"/>
    </row>
    <row r="36" spans="1:13" ht="22.5" customHeight="1" x14ac:dyDescent="0.2">
      <c r="B36" s="11"/>
      <c r="C36" s="11"/>
      <c r="D36" s="11"/>
      <c r="E36" s="213" t="s">
        <v>39</v>
      </c>
      <c r="F36" s="214"/>
      <c r="G36" s="84">
        <f>($E$10*G10+$E$21*G21+$E$25*G25+$E$31*G31)/$E$32</f>
        <v>2.4900575192724768</v>
      </c>
      <c r="H36" s="84">
        <f>($E$10*H10+$E$21*H21+$E$25*H25+$E$31*H31)/$E$32</f>
        <v>1.9009157043523102</v>
      </c>
      <c r="I36" s="84">
        <f t="shared" ref="I36:M36" si="2">($E$10*I10+$E$21*I21+$E$25*I25+$E$31*I31)/$E$32</f>
        <v>2.7611354440003022</v>
      </c>
      <c r="J36" s="84">
        <f t="shared" si="2"/>
        <v>3.6077593796443588</v>
      </c>
      <c r="K36" s="84">
        <f t="shared" si="2"/>
        <v>4.4935580327068259</v>
      </c>
      <c r="L36" s="84">
        <f t="shared" si="2"/>
        <v>3.2890080295590498</v>
      </c>
      <c r="M36" s="84">
        <f t="shared" si="2"/>
        <v>4.9571434605703049</v>
      </c>
    </row>
    <row r="37" spans="1:13" ht="16.5" customHeight="1" x14ac:dyDescent="0.2">
      <c r="B37" s="10"/>
      <c r="C37" s="10"/>
      <c r="D37" s="10"/>
      <c r="E37" s="16"/>
      <c r="F37" s="105" t="s">
        <v>45</v>
      </c>
      <c r="G37" s="85"/>
      <c r="H37" s="85">
        <f>H36-'Sept-2016'!H36</f>
        <v>-2.5091126491013256</v>
      </c>
      <c r="I37" s="85">
        <f>I36-'Sept-2016'!I36</f>
        <v>-0.22515728539928404</v>
      </c>
      <c r="J37" s="85">
        <f>J36-'Sept-2016'!J36</f>
        <v>-0.39498094080023494</v>
      </c>
      <c r="K37" s="85">
        <f>K36-'Sept-2016'!K36</f>
        <v>-0.4968734537991093</v>
      </c>
      <c r="L37" s="85">
        <f>L36-'Sept-2016'!L36</f>
        <v>-0.15490707491248479</v>
      </c>
      <c r="M37" s="85">
        <f>M36-'Sept-2016'!M36</f>
        <v>-4.6476248726541769E-2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83</v>
      </c>
      <c r="B41" s="86"/>
      <c r="C41" s="86"/>
      <c r="D41" s="20"/>
      <c r="E41" s="87">
        <f>E32-'DEC-2015'!E32</f>
        <v>27.567839338431043</v>
      </c>
      <c r="F41" s="88">
        <f>E41/'DEC-2015'!E32</f>
        <v>8.3438414176824724E-2</v>
      </c>
      <c r="H41" s="6"/>
      <c r="I41" s="6"/>
      <c r="J41" s="6"/>
      <c r="K41" s="6"/>
      <c r="L41" s="6"/>
      <c r="M41" s="6"/>
    </row>
    <row r="42" spans="1:13" x14ac:dyDescent="0.2">
      <c r="A42" s="20" t="s">
        <v>84</v>
      </c>
      <c r="B42" s="86"/>
      <c r="C42" s="86"/>
      <c r="D42" s="20"/>
      <c r="E42" s="89">
        <f>F32-'DEC-2015'!F32</f>
        <v>11811</v>
      </c>
      <c r="F42" s="88">
        <f>E42/'DEC-2015'!F32</f>
        <v>4.6315467507411417E-2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Normal="100" workbookViewId="0">
      <pane ySplit="3" topLeftCell="A4" activePane="bottomLeft" state="frozen"/>
      <selection pane="bottomLeft" activeCell="S31" sqref="S3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3" s="3" customFormat="1" ht="27" customHeight="1" x14ac:dyDescent="0.25">
      <c r="A1" s="227" t="s">
        <v>85</v>
      </c>
      <c r="B1" s="227"/>
      <c r="C1" s="227"/>
      <c r="D1" s="227"/>
      <c r="E1" s="227"/>
      <c r="F1" s="227"/>
      <c r="G1" s="227"/>
      <c r="H1" s="227"/>
      <c r="I1" s="227"/>
      <c r="J1" s="227"/>
      <c r="K1" s="227"/>
      <c r="L1" s="227"/>
      <c r="M1" s="227"/>
    </row>
    <row r="2" spans="1:13" ht="24" customHeight="1" x14ac:dyDescent="0.2">
      <c r="A2" s="228" t="s">
        <v>0</v>
      </c>
      <c r="B2" s="229" t="s">
        <v>10</v>
      </c>
      <c r="C2" s="230" t="s">
        <v>15</v>
      </c>
      <c r="D2" s="231" t="s">
        <v>29</v>
      </c>
      <c r="E2" s="232" t="s">
        <v>43</v>
      </c>
      <c r="F2" s="233" t="s">
        <v>1</v>
      </c>
      <c r="G2" s="234" t="s">
        <v>2</v>
      </c>
      <c r="H2" s="235"/>
      <c r="I2" s="235"/>
      <c r="J2" s="235"/>
      <c r="K2" s="235"/>
      <c r="L2" s="235"/>
      <c r="M2" s="236"/>
    </row>
    <row r="3" spans="1:13" ht="42.75" customHeight="1" x14ac:dyDescent="0.2">
      <c r="A3" s="228"/>
      <c r="B3" s="229"/>
      <c r="C3" s="230"/>
      <c r="D3" s="231"/>
      <c r="E3" s="232"/>
      <c r="F3" s="233"/>
      <c r="G3" s="72" t="s">
        <v>40</v>
      </c>
      <c r="H3" s="186" t="s">
        <v>3</v>
      </c>
      <c r="I3" s="186" t="s">
        <v>4</v>
      </c>
      <c r="J3" s="186" t="s">
        <v>5</v>
      </c>
      <c r="K3" s="186" t="s">
        <v>6</v>
      </c>
      <c r="L3" s="71" t="s">
        <v>41</v>
      </c>
      <c r="M3" s="187" t="s">
        <v>7</v>
      </c>
    </row>
    <row r="4" spans="1:13" ht="26.25" customHeight="1" x14ac:dyDescent="0.2">
      <c r="A4" s="215" t="s">
        <v>38</v>
      </c>
      <c r="B4" s="237"/>
      <c r="C4" s="237"/>
      <c r="D4" s="237"/>
      <c r="E4" s="237"/>
      <c r="F4" s="237"/>
      <c r="G4" s="237"/>
      <c r="H4" s="237"/>
      <c r="I4" s="237"/>
      <c r="J4" s="237"/>
      <c r="K4" s="237"/>
      <c r="L4" s="237"/>
      <c r="M4" s="238"/>
    </row>
    <row r="5" spans="1:13" ht="23.25" customHeight="1" x14ac:dyDescent="0.2">
      <c r="A5" s="242" t="s">
        <v>89</v>
      </c>
      <c r="B5" s="243"/>
      <c r="C5" s="243"/>
      <c r="D5" s="243"/>
      <c r="E5" s="243"/>
      <c r="F5" s="243"/>
      <c r="G5" s="243"/>
      <c r="H5" s="243"/>
      <c r="I5" s="243"/>
      <c r="J5" s="243"/>
      <c r="K5" s="243"/>
      <c r="L5" s="243"/>
      <c r="M5" s="244"/>
    </row>
    <row r="6" spans="1:13" x14ac:dyDescent="0.2">
      <c r="A6" s="58" t="s">
        <v>88</v>
      </c>
      <c r="B6" s="12" t="s">
        <v>8</v>
      </c>
      <c r="C6" s="201">
        <v>0</v>
      </c>
      <c r="D6" s="23">
        <v>42285</v>
      </c>
      <c r="E6" s="91">
        <v>3.8047000000000005E-4</v>
      </c>
      <c r="F6" s="64">
        <v>2</v>
      </c>
      <c r="G6" s="73"/>
      <c r="H6" s="90"/>
      <c r="I6" s="90"/>
      <c r="J6" s="90"/>
      <c r="K6" s="90"/>
      <c r="L6" s="90"/>
      <c r="M6" s="90">
        <v>-2.99137500761096</v>
      </c>
    </row>
    <row r="7" spans="1:13" ht="21" customHeight="1" x14ac:dyDescent="0.2">
      <c r="A7" s="202" t="s">
        <v>91</v>
      </c>
      <c r="B7" s="203" t="s">
        <v>8</v>
      </c>
      <c r="C7" s="203"/>
      <c r="D7" s="204"/>
      <c r="E7" s="205">
        <f>SUM(E6:E6)</f>
        <v>3.8047000000000005E-4</v>
      </c>
      <c r="F7" s="206">
        <f>SUM(F6:F6)</f>
        <v>2</v>
      </c>
      <c r="G7" s="107"/>
      <c r="H7" s="108"/>
      <c r="I7" s="108"/>
      <c r="J7" s="108"/>
      <c r="K7" s="108"/>
      <c r="L7" s="108"/>
      <c r="M7" s="109">
        <f>M6</f>
        <v>-2.99137500761096</v>
      </c>
    </row>
    <row r="8" spans="1:13" x14ac:dyDescent="0.2">
      <c r="A8" s="196"/>
      <c r="B8" s="197"/>
      <c r="C8" s="197"/>
      <c r="D8" s="198"/>
      <c r="E8" s="199"/>
      <c r="F8" s="200"/>
      <c r="G8" s="192"/>
      <c r="H8" s="192"/>
      <c r="I8" s="192"/>
      <c r="J8" s="192"/>
      <c r="K8" s="193"/>
      <c r="L8" s="194"/>
      <c r="M8" s="195"/>
    </row>
    <row r="9" spans="1:13" ht="23.25" customHeight="1" x14ac:dyDescent="0.2">
      <c r="A9" s="239" t="s">
        <v>33</v>
      </c>
      <c r="B9" s="240"/>
      <c r="C9" s="240"/>
      <c r="D9" s="240"/>
      <c r="E9" s="240"/>
      <c r="F9" s="240"/>
      <c r="G9" s="240"/>
      <c r="H9" s="240"/>
      <c r="I9" s="240"/>
      <c r="J9" s="240"/>
      <c r="K9" s="240"/>
      <c r="L9" s="240"/>
      <c r="M9" s="241"/>
    </row>
    <row r="10" spans="1:13" s="14" customFormat="1" x14ac:dyDescent="0.2">
      <c r="A10" s="58" t="s">
        <v>46</v>
      </c>
      <c r="B10" s="12" t="s">
        <v>8</v>
      </c>
      <c r="C10" s="12" t="s">
        <v>23</v>
      </c>
      <c r="D10" s="23">
        <v>36433</v>
      </c>
      <c r="E10" s="91">
        <v>26.64065712</v>
      </c>
      <c r="F10" s="64">
        <v>29711</v>
      </c>
      <c r="G10" s="73">
        <v>1.7897600528922111</v>
      </c>
      <c r="H10" s="90">
        <v>0.52316789636763783</v>
      </c>
      <c r="I10" s="90">
        <v>1.037547911319292</v>
      </c>
      <c r="J10" s="90">
        <v>2.2056491818657431</v>
      </c>
      <c r="K10" s="90">
        <v>3.9102923176480564</v>
      </c>
      <c r="L10" s="90">
        <v>3.0253742902992098</v>
      </c>
      <c r="M10" s="90">
        <v>5.1645412332226082</v>
      </c>
    </row>
    <row r="11" spans="1:13" s="2" customFormat="1" ht="12.75" customHeight="1" x14ac:dyDescent="0.2">
      <c r="A11" s="58" t="s">
        <v>27</v>
      </c>
      <c r="B11" s="12" t="s">
        <v>8</v>
      </c>
      <c r="C11" s="12" t="s">
        <v>18</v>
      </c>
      <c r="D11" s="24">
        <v>40834</v>
      </c>
      <c r="E11" s="113">
        <v>11.555999999999999</v>
      </c>
      <c r="F11" s="114">
        <v>8467</v>
      </c>
      <c r="G11" s="74">
        <v>1.84</v>
      </c>
      <c r="H11" s="74">
        <v>-0.15</v>
      </c>
      <c r="I11" s="74">
        <v>0.94</v>
      </c>
      <c r="J11" s="74">
        <v>2.4500000000000002</v>
      </c>
      <c r="K11" s="74">
        <v>3.39</v>
      </c>
      <c r="L11" s="74"/>
      <c r="M11" s="75">
        <v>3.27</v>
      </c>
    </row>
    <row r="12" spans="1:13" s="2" customFormat="1" ht="12.75" customHeight="1" x14ac:dyDescent="0.2">
      <c r="A12" s="58" t="s">
        <v>30</v>
      </c>
      <c r="B12" s="12" t="s">
        <v>8</v>
      </c>
      <c r="C12" s="12" t="s">
        <v>18</v>
      </c>
      <c r="D12" s="24">
        <v>36738</v>
      </c>
      <c r="E12" s="92">
        <v>89.764272000000005</v>
      </c>
      <c r="F12" s="25">
        <v>47706</v>
      </c>
      <c r="G12" s="106">
        <v>2.37</v>
      </c>
      <c r="H12" s="97">
        <v>1.0900000000000001</v>
      </c>
      <c r="I12" s="97">
        <v>1.99</v>
      </c>
      <c r="J12" s="97">
        <v>3.23</v>
      </c>
      <c r="K12" s="106">
        <v>4.05</v>
      </c>
      <c r="L12" s="106">
        <v>3.75</v>
      </c>
      <c r="M12" s="106">
        <v>4.62</v>
      </c>
    </row>
    <row r="13" spans="1:13" ht="12.75" customHeight="1" x14ac:dyDescent="0.2">
      <c r="A13" s="59" t="s">
        <v>11</v>
      </c>
      <c r="B13" s="26" t="s">
        <v>8</v>
      </c>
      <c r="C13" s="26" t="s">
        <v>18</v>
      </c>
      <c r="D13" s="27">
        <v>37816</v>
      </c>
      <c r="E13" s="116">
        <v>41.926542828335201</v>
      </c>
      <c r="F13" s="117">
        <v>37947</v>
      </c>
      <c r="G13" s="118">
        <v>0.92623831225147057</v>
      </c>
      <c r="H13" s="118">
        <v>0.68695844718755783</v>
      </c>
      <c r="I13" s="118">
        <v>1.4646321160715958</v>
      </c>
      <c r="J13" s="118">
        <v>3.2858400026877232</v>
      </c>
      <c r="K13" s="13">
        <v>4.4866125790405942</v>
      </c>
      <c r="L13" s="115">
        <v>2.9833664581135011</v>
      </c>
      <c r="M13" s="13">
        <v>2.9011456891856691</v>
      </c>
    </row>
    <row r="14" spans="1:13" s="20" customFormat="1" ht="23.25" customHeight="1" x14ac:dyDescent="0.2">
      <c r="A14" s="41" t="s">
        <v>35</v>
      </c>
      <c r="B14" s="42" t="s">
        <v>8</v>
      </c>
      <c r="C14" s="42"/>
      <c r="D14" s="43"/>
      <c r="E14" s="63">
        <f>SUM(E10:E13)</f>
        <v>169.88747194833519</v>
      </c>
      <c r="F14" s="44">
        <f>SUM(F10:F13)</f>
        <v>123831</v>
      </c>
      <c r="G14" s="107">
        <f>($E$10*G10+$E$11*G11+$E$12*G12+$E$13*G13+$E$36*G36)/($E$14+$E$36)</f>
        <v>1.9231407366054332</v>
      </c>
      <c r="H14" s="108">
        <f>($E$10*H10+$E$11*H11+$E$12*H12+$E$13*H13+$E$36*H36)/($E$14+$E$36)</f>
        <v>0.93022676427152229</v>
      </c>
      <c r="I14" s="108">
        <f>($E$10*I10+$E$11*I11+$E$12*I12+$E$13*I13+$E$36*I36)/($E$14+$E$36)</f>
        <v>1.67251919204144</v>
      </c>
      <c r="J14" s="108">
        <f>($E$10*J10+$E$11*J11+$E$12*J12+$E$13*J13+$E$36*J36)/($E$14+$E$36)</f>
        <v>2.9479778628282838</v>
      </c>
      <c r="K14" s="108">
        <f>($E$10*K10+$E$11*K11+$E$12*K12+$E$13*K13+$E$36*K36)/($E$14+$E$36)</f>
        <v>4.1098436979234831</v>
      </c>
      <c r="L14" s="108">
        <f>($E$10*L10+$E$12*L12+$E$13*L13+$E$36*L36)/($E$10+$E$12+$E$13+$E$36)</f>
        <v>3.3660394825214395</v>
      </c>
      <c r="M14" s="109">
        <f>($E$10*M10+$E$11*M11+$E$12*M12+$E$13*M13+$E$36*M36)/($E$14+$E$36)</f>
        <v>4.898240443332603</v>
      </c>
    </row>
    <row r="15" spans="1:13" s="21" customFormat="1" ht="12" customHeight="1" x14ac:dyDescent="0.2">
      <c r="A15" s="55"/>
      <c r="B15" s="37"/>
      <c r="C15" s="37"/>
      <c r="D15" s="38"/>
      <c r="E15" s="39"/>
      <c r="F15" s="40"/>
      <c r="G15" s="29"/>
      <c r="H15" s="29"/>
      <c r="I15" s="29"/>
      <c r="J15" s="29"/>
      <c r="K15" s="29"/>
      <c r="L15" s="29"/>
      <c r="M15" s="98"/>
    </row>
    <row r="16" spans="1:13" ht="21" customHeight="1" x14ac:dyDescent="0.2">
      <c r="A16" s="219" t="s">
        <v>34</v>
      </c>
      <c r="B16" s="219"/>
      <c r="C16" s="219"/>
      <c r="D16" s="219"/>
      <c r="E16" s="219"/>
      <c r="F16" s="219"/>
      <c r="G16" s="219"/>
      <c r="H16" s="219"/>
      <c r="I16" s="219"/>
      <c r="J16" s="219"/>
      <c r="K16" s="219"/>
      <c r="L16" s="219"/>
      <c r="M16" s="219"/>
    </row>
    <row r="17" spans="1:15" x14ac:dyDescent="0.2">
      <c r="A17" s="61" t="s">
        <v>47</v>
      </c>
      <c r="B17" s="12" t="s">
        <v>8</v>
      </c>
      <c r="C17" s="12" t="s">
        <v>16</v>
      </c>
      <c r="D17" s="23">
        <v>36606</v>
      </c>
      <c r="E17" s="91">
        <v>12.62094035</v>
      </c>
      <c r="F17" s="64">
        <v>23228</v>
      </c>
      <c r="G17" s="73">
        <v>0.49778944538757441</v>
      </c>
      <c r="H17" s="90">
        <v>-1.1144967511865556</v>
      </c>
      <c r="I17" s="90">
        <v>1.3371242486452939</v>
      </c>
      <c r="J17" s="90">
        <v>2.3827741058474405</v>
      </c>
      <c r="K17" s="90">
        <v>4.8245518644936203</v>
      </c>
      <c r="L17" s="90">
        <v>2.9856457464040309</v>
      </c>
      <c r="M17" s="90">
        <v>5.0278079171949486</v>
      </c>
    </row>
    <row r="18" spans="1:15" x14ac:dyDescent="0.2">
      <c r="A18" s="61" t="s">
        <v>49</v>
      </c>
      <c r="B18" s="12" t="s">
        <v>8</v>
      </c>
      <c r="C18" s="12" t="s">
        <v>17</v>
      </c>
      <c r="D18" s="23">
        <v>36091</v>
      </c>
      <c r="E18" s="92">
        <v>0.40307841999999999</v>
      </c>
      <c r="F18" s="25">
        <v>493</v>
      </c>
      <c r="G18" s="74">
        <v>0.48889613779594665</v>
      </c>
      <c r="H18" s="74">
        <v>-0.79637007023406481</v>
      </c>
      <c r="I18" s="74">
        <v>0.85295517624524031</v>
      </c>
      <c r="J18" s="74">
        <v>3.3347811182280251</v>
      </c>
      <c r="K18" s="74">
        <v>4.2618722774161233</v>
      </c>
      <c r="L18" s="115"/>
      <c r="M18" s="74">
        <v>4.3296880542042171</v>
      </c>
      <c r="N18" s="2"/>
      <c r="O18" s="2"/>
    </row>
    <row r="19" spans="1:15" ht="13.5" customHeight="1" x14ac:dyDescent="0.2">
      <c r="A19" s="61" t="s">
        <v>50</v>
      </c>
      <c r="B19" s="12" t="s">
        <v>8</v>
      </c>
      <c r="C19" s="12" t="s">
        <v>21</v>
      </c>
      <c r="D19" s="23">
        <v>39514</v>
      </c>
      <c r="E19" s="92">
        <v>5.7331800000000002E-2</v>
      </c>
      <c r="F19" s="25">
        <v>100</v>
      </c>
      <c r="G19" s="74">
        <v>0.62240532508377466</v>
      </c>
      <c r="H19" s="74">
        <v>-1.5137981079527685</v>
      </c>
      <c r="I19" s="74">
        <v>-0.52936150226745582</v>
      </c>
      <c r="J19" s="74">
        <v>1.5364019241961291</v>
      </c>
      <c r="K19" s="74">
        <v>3.0291839823114453</v>
      </c>
      <c r="L19" s="115"/>
      <c r="M19" s="74">
        <v>3.1916067351196009</v>
      </c>
      <c r="N19" s="2"/>
      <c r="O19" s="2"/>
    </row>
    <row r="20" spans="1:15" ht="12.75" customHeight="1" x14ac:dyDescent="0.2">
      <c r="A20" s="61" t="s">
        <v>51</v>
      </c>
      <c r="B20" s="12" t="s">
        <v>8</v>
      </c>
      <c r="C20" s="12" t="s">
        <v>16</v>
      </c>
      <c r="D20" s="23">
        <v>39514</v>
      </c>
      <c r="E20" s="92">
        <v>0.64386743999999996</v>
      </c>
      <c r="F20" s="25">
        <v>1700</v>
      </c>
      <c r="G20" s="74">
        <v>1.0652724149916137</v>
      </c>
      <c r="H20" s="74">
        <v>-0.68391333045653147</v>
      </c>
      <c r="I20" s="74">
        <v>2.2349557493466454</v>
      </c>
      <c r="J20" s="74">
        <v>3.1785296555209452</v>
      </c>
      <c r="K20" s="74">
        <v>3.7294802812182226</v>
      </c>
      <c r="L20" s="115"/>
      <c r="M20" s="74">
        <v>4.4757977371400637</v>
      </c>
      <c r="N20" s="2"/>
      <c r="O20" s="2"/>
    </row>
    <row r="21" spans="1:15" ht="12.75" customHeight="1" x14ac:dyDescent="0.2">
      <c r="A21" s="61" t="s">
        <v>90</v>
      </c>
      <c r="B21" s="12" t="s">
        <v>8</v>
      </c>
      <c r="C21" s="12" t="s">
        <v>16</v>
      </c>
      <c r="D21" s="23">
        <v>42285</v>
      </c>
      <c r="E21" s="92">
        <v>2.7273990000000001E-2</v>
      </c>
      <c r="F21" s="25">
        <v>8</v>
      </c>
      <c r="G21" s="74"/>
      <c r="H21" s="74"/>
      <c r="I21" s="74"/>
      <c r="J21" s="74"/>
      <c r="K21" s="74"/>
      <c r="L21" s="115"/>
      <c r="M21" s="74">
        <v>-1.3660844849373022</v>
      </c>
      <c r="N21" s="2"/>
      <c r="O21" s="2"/>
    </row>
    <row r="22" spans="1:15" ht="12.75" customHeight="1" x14ac:dyDescent="0.2">
      <c r="A22" s="58" t="s">
        <v>12</v>
      </c>
      <c r="B22" s="12" t="s">
        <v>8</v>
      </c>
      <c r="C22" s="12" t="s">
        <v>19</v>
      </c>
      <c r="D22" s="24">
        <v>40834</v>
      </c>
      <c r="E22" s="113">
        <v>6.3570000000000002</v>
      </c>
      <c r="F22" s="114">
        <v>5068</v>
      </c>
      <c r="G22" s="74">
        <v>1.48</v>
      </c>
      <c r="H22" s="74">
        <v>-1.68</v>
      </c>
      <c r="I22" s="115">
        <v>1.86</v>
      </c>
      <c r="J22" s="115">
        <v>4.08</v>
      </c>
      <c r="K22" s="115">
        <v>4.7699999999999996</v>
      </c>
      <c r="L22" s="115"/>
      <c r="M22" s="74">
        <v>4.62</v>
      </c>
      <c r="N22" s="79"/>
      <c r="O22" s="2"/>
    </row>
    <row r="23" spans="1:15" x14ac:dyDescent="0.2">
      <c r="A23" s="58" t="s">
        <v>31</v>
      </c>
      <c r="B23" s="12" t="s">
        <v>8</v>
      </c>
      <c r="C23" s="12" t="s">
        <v>16</v>
      </c>
      <c r="D23" s="24">
        <v>38245</v>
      </c>
      <c r="E23" s="92">
        <v>39.991481999999998</v>
      </c>
      <c r="F23" s="25">
        <v>36319</v>
      </c>
      <c r="G23" s="106">
        <v>2.44</v>
      </c>
      <c r="H23" s="106">
        <v>0.69</v>
      </c>
      <c r="I23" s="97">
        <v>2.4300000000000002</v>
      </c>
      <c r="J23" s="106">
        <v>3.93</v>
      </c>
      <c r="K23" s="97">
        <v>5.12</v>
      </c>
      <c r="L23" s="97">
        <v>3.73</v>
      </c>
      <c r="M23" s="97">
        <v>4.8600000000000003</v>
      </c>
      <c r="N23" s="2"/>
      <c r="O23" s="2"/>
    </row>
    <row r="24" spans="1:15" ht="12.75" customHeight="1" x14ac:dyDescent="0.2">
      <c r="A24" s="60" t="s">
        <v>13</v>
      </c>
      <c r="B24" s="22" t="s">
        <v>8</v>
      </c>
      <c r="C24" s="22" t="s">
        <v>20</v>
      </c>
      <c r="D24" s="23">
        <v>37834</v>
      </c>
      <c r="E24" s="116">
        <v>49.770131170552602</v>
      </c>
      <c r="F24" s="117">
        <v>45422</v>
      </c>
      <c r="G24" s="118">
        <v>3.1993390536705357</v>
      </c>
      <c r="H24" s="118">
        <v>1.6441375375869427</v>
      </c>
      <c r="I24" s="118">
        <v>3.2721592385698051</v>
      </c>
      <c r="J24" s="118">
        <v>4.649227018098312</v>
      </c>
      <c r="K24" s="13">
        <v>6.7628788503607318</v>
      </c>
      <c r="L24" s="115">
        <v>2.1090346719427</v>
      </c>
      <c r="M24" s="13">
        <v>3.8581488643866457</v>
      </c>
      <c r="N24" s="2"/>
      <c r="O24" s="2"/>
    </row>
    <row r="25" spans="1:15" ht="12.75" customHeight="1" x14ac:dyDescent="0.2">
      <c r="A25" s="61" t="s">
        <v>28</v>
      </c>
      <c r="B25" s="22" t="s">
        <v>8</v>
      </c>
      <c r="C25" s="22" t="s">
        <v>25</v>
      </c>
      <c r="D25" s="23">
        <v>39078</v>
      </c>
      <c r="E25" s="116">
        <v>13.7100227606619</v>
      </c>
      <c r="F25" s="117">
        <v>16891</v>
      </c>
      <c r="G25" s="118">
        <v>4.6656695534229353</v>
      </c>
      <c r="H25" s="118">
        <v>-0.1457518031030447</v>
      </c>
      <c r="I25" s="118">
        <v>4.6981990879225499</v>
      </c>
      <c r="J25" s="118">
        <v>6.3632058308770167</v>
      </c>
      <c r="K25" s="13">
        <v>9.1711012053261811</v>
      </c>
      <c r="L25" s="115"/>
      <c r="M25" s="13">
        <v>0.58818013632246924</v>
      </c>
      <c r="N25" s="2"/>
      <c r="O25" s="2"/>
    </row>
    <row r="26" spans="1:15" ht="12.75" customHeight="1" x14ac:dyDescent="0.2">
      <c r="A26" s="30" t="s">
        <v>34</v>
      </c>
      <c r="B26" s="31" t="s">
        <v>8</v>
      </c>
      <c r="C26" s="31"/>
      <c r="D26" s="32"/>
      <c r="E26" s="67">
        <f>SUM(E17:E25)</f>
        <v>123.5811279312145</v>
      </c>
      <c r="F26" s="33">
        <f>SUM(F17:F25)</f>
        <v>129229</v>
      </c>
      <c r="G26" s="110">
        <f>($E$17*G17+$E$18*G18+$E$19*G19+$E$20*G20+$E$22*G22+$E$23*G23+$E$24*G24+$E$25*G25)/($E$26-$E$21)</f>
        <v>2.7306857509451508</v>
      </c>
      <c r="H26" s="110">
        <f>($E$17*H17+$E$18*H18+$E$19*H19+$E$20*H20+$E$22*H22+$E$23*H23+$E$24*H24+$E$25*H25)/($E$26-$E$21)</f>
        <v>0.66230963614334071</v>
      </c>
      <c r="I26" s="110">
        <f t="shared" ref="I26:K26" si="0">($E$17*I17+$E$18*I18+$E$19*I19+$E$20*I20+$E$22*I22+$E$23*I23+$E$24*I24+$E$25*I25)/($E$26-$E$21)</f>
        <v>2.8724297954273692</v>
      </c>
      <c r="J26" s="110">
        <f t="shared" si="0"/>
        <v>4.3324191604814066</v>
      </c>
      <c r="K26" s="110">
        <f t="shared" si="0"/>
        <v>6.1721090584006335</v>
      </c>
      <c r="L26" s="111">
        <f>($E$17*L17+$E$24*L24+$E$23*L23)/($E$17+$E$24+$E$23)</f>
        <v>2.8502592186162641</v>
      </c>
      <c r="M26" s="112">
        <f>($E$17*M17+$E$18*M18+$E$19*M19+$E$20*M20+$E$22*M22+$E$23*M23+$E$24*M24+$E$25*M25+E21*M21)/$E$26</f>
        <v>3.9815212801409707</v>
      </c>
    </row>
    <row r="27" spans="1:15" s="14" customFormat="1" ht="12.75" customHeight="1" x14ac:dyDescent="0.2">
      <c r="A27" s="56"/>
      <c r="B27" s="15"/>
      <c r="C27" s="15"/>
      <c r="D27" s="45"/>
      <c r="E27" s="69"/>
      <c r="F27" s="28"/>
      <c r="G27" s="78"/>
      <c r="H27" s="79"/>
      <c r="I27" s="79"/>
      <c r="J27" s="79"/>
      <c r="K27" s="79"/>
      <c r="L27" s="79"/>
      <c r="M27" s="80"/>
    </row>
    <row r="28" spans="1:15" ht="12.75" customHeight="1" x14ac:dyDescent="0.2">
      <c r="A28" s="61" t="s">
        <v>48</v>
      </c>
      <c r="B28" s="12" t="s">
        <v>9</v>
      </c>
      <c r="C28" s="12" t="s">
        <v>16</v>
      </c>
      <c r="D28" s="23">
        <v>38808</v>
      </c>
      <c r="E28" s="91">
        <v>1.0903818993888106</v>
      </c>
      <c r="F28" s="64">
        <v>624</v>
      </c>
      <c r="G28" s="73">
        <v>1.9175881983631053</v>
      </c>
      <c r="H28" s="75">
        <v>0.40709459347763044</v>
      </c>
      <c r="I28" s="75">
        <v>5.1130342703897824E-2</v>
      </c>
      <c r="J28" s="75">
        <v>0.46655767287151484</v>
      </c>
      <c r="K28" s="75">
        <v>2.7845355767676994</v>
      </c>
      <c r="L28" s="75">
        <v>3.0868651191138685</v>
      </c>
      <c r="M28" s="90">
        <v>3.6618362712669938</v>
      </c>
    </row>
    <row r="29" spans="1:15" ht="12.75" customHeight="1" x14ac:dyDescent="0.2">
      <c r="A29" s="60" t="s">
        <v>14</v>
      </c>
      <c r="B29" s="22" t="s">
        <v>9</v>
      </c>
      <c r="C29" s="22" t="s">
        <v>20</v>
      </c>
      <c r="D29" s="23">
        <v>37816</v>
      </c>
      <c r="E29" s="116">
        <v>3.4984064455874</v>
      </c>
      <c r="F29" s="117">
        <v>2310</v>
      </c>
      <c r="G29" s="13">
        <v>1.7749291550840152</v>
      </c>
      <c r="H29" s="13">
        <v>1.3882497635085755</v>
      </c>
      <c r="I29" s="13">
        <v>0.36107507625664503</v>
      </c>
      <c r="J29" s="13">
        <v>1.8448812438450979</v>
      </c>
      <c r="K29" s="13">
        <v>2.831541354421474</v>
      </c>
      <c r="L29" s="115">
        <v>0.95362497594693174</v>
      </c>
      <c r="M29" s="13">
        <v>2.0188140790210252</v>
      </c>
    </row>
    <row r="30" spans="1:15" ht="12.75" customHeight="1" x14ac:dyDescent="0.2">
      <c r="A30" s="30" t="s">
        <v>34</v>
      </c>
      <c r="B30" s="31" t="s">
        <v>9</v>
      </c>
      <c r="C30" s="35"/>
      <c r="D30" s="36"/>
      <c r="E30" s="68">
        <f>SUM(E28:E29)</f>
        <v>4.5887883449762104</v>
      </c>
      <c r="F30" s="34">
        <f>SUM(F28:F29)</f>
        <v>2934</v>
      </c>
      <c r="G30" s="110">
        <f t="shared" ref="G30:M30" si="1">($E$28*G28+$E$29*G29)/$E$30</f>
        <v>1.8088276108160048</v>
      </c>
      <c r="H30" s="111">
        <f t="shared" si="1"/>
        <v>1.1551089521515334</v>
      </c>
      <c r="I30" s="111">
        <f t="shared" si="1"/>
        <v>0.28742641306502092</v>
      </c>
      <c r="J30" s="111">
        <f t="shared" si="1"/>
        <v>1.5173657952548592</v>
      </c>
      <c r="K30" s="111">
        <f t="shared" si="1"/>
        <v>2.8203719028653822</v>
      </c>
      <c r="L30" s="112">
        <f t="shared" si="1"/>
        <v>1.4605227154570513</v>
      </c>
      <c r="M30" s="112">
        <f t="shared" si="1"/>
        <v>2.4092268686369329</v>
      </c>
    </row>
    <row r="31" spans="1:15" s="14" customFormat="1" ht="12.75" customHeight="1" x14ac:dyDescent="0.2">
      <c r="A31" s="56"/>
      <c r="B31" s="15"/>
      <c r="C31" s="15"/>
      <c r="D31" s="45"/>
      <c r="E31" s="69"/>
      <c r="F31" s="28"/>
      <c r="G31" s="78"/>
      <c r="H31" s="76"/>
      <c r="I31" s="76"/>
      <c r="J31" s="76"/>
      <c r="K31" s="76"/>
      <c r="L31" s="76"/>
      <c r="M31" s="77"/>
    </row>
    <row r="32" spans="1:15" s="20" customFormat="1" ht="21" customHeight="1" x14ac:dyDescent="0.2">
      <c r="A32" s="51" t="s">
        <v>36</v>
      </c>
      <c r="B32" s="52"/>
      <c r="C32" s="52"/>
      <c r="D32" s="52"/>
      <c r="E32" s="68">
        <f>E30+E26</f>
        <v>128.16991627619072</v>
      </c>
      <c r="F32" s="34">
        <f>F30+F26</f>
        <v>132163</v>
      </c>
      <c r="G32" s="81">
        <f>($E$26*G26+$E$30*G30)/$E$32</f>
        <v>2.6976810333636045</v>
      </c>
      <c r="H32" s="81">
        <f>($E$26*H26+$E$30*H30)/$E$32</f>
        <v>0.67995302566415228</v>
      </c>
      <c r="I32" s="81">
        <f>($E$26*I26+$E$30*I30)/$E$32</f>
        <v>2.7798805160227764</v>
      </c>
      <c r="J32" s="81">
        <f t="shared" ref="J32:M32" si="2">($E$26*J26+$E$30*J30)/$E$32</f>
        <v>4.2316335436366428</v>
      </c>
      <c r="K32" s="81">
        <f t="shared" si="2"/>
        <v>6.0521088833080556</v>
      </c>
      <c r="L32" s="81">
        <f>($E$26*L26+$E$30*L30)/$E$32</f>
        <v>2.8005033410003115</v>
      </c>
      <c r="M32" s="81">
        <f t="shared" si="2"/>
        <v>3.9252293944941576</v>
      </c>
    </row>
    <row r="33" spans="1:13" s="20" customFormat="1" ht="26.25" customHeight="1" x14ac:dyDescent="0.2">
      <c r="A33" s="220" t="s">
        <v>37</v>
      </c>
      <c r="B33" s="220"/>
      <c r="C33" s="220"/>
      <c r="D33" s="220"/>
      <c r="E33" s="70">
        <f>SUM(E7,E14,E32)</f>
        <v>298.05776869452592</v>
      </c>
      <c r="F33" s="53">
        <f>SUM(F7,F14, F32)</f>
        <v>255996</v>
      </c>
      <c r="G33" s="191"/>
      <c r="H33" s="221"/>
      <c r="I33" s="222"/>
      <c r="J33" s="222"/>
      <c r="K33" s="222"/>
      <c r="L33" s="222"/>
      <c r="M33" s="223"/>
    </row>
    <row r="34" spans="1:13" s="21" customFormat="1" ht="10.5" customHeight="1" x14ac:dyDescent="0.2">
      <c r="A34" s="57"/>
      <c r="B34" s="46"/>
      <c r="C34" s="46"/>
      <c r="D34" s="46"/>
      <c r="E34" s="47"/>
      <c r="F34" s="28"/>
      <c r="G34" s="78"/>
      <c r="H34" s="78"/>
      <c r="I34" s="78"/>
      <c r="J34" s="78"/>
      <c r="K34" s="78"/>
      <c r="L34" s="78"/>
      <c r="M34" s="82"/>
    </row>
    <row r="35" spans="1:13" ht="22.5" customHeight="1" x14ac:dyDescent="0.2">
      <c r="A35" s="54" t="s">
        <v>22</v>
      </c>
      <c r="B35" s="48"/>
      <c r="C35" s="48"/>
      <c r="D35" s="48"/>
      <c r="E35" s="49"/>
      <c r="F35" s="50"/>
      <c r="G35" s="83"/>
      <c r="H35" s="99"/>
      <c r="I35" s="99"/>
      <c r="J35" s="99"/>
      <c r="K35" s="99"/>
      <c r="L35" s="99"/>
      <c r="M35" s="100"/>
    </row>
    <row r="36" spans="1:13" ht="39" customHeight="1" thickBot="1" x14ac:dyDescent="0.25">
      <c r="A36" s="62" t="s">
        <v>32</v>
      </c>
      <c r="B36" s="12" t="s">
        <v>8</v>
      </c>
      <c r="C36" s="12" t="s">
        <v>17</v>
      </c>
      <c r="D36" s="23">
        <v>36495</v>
      </c>
      <c r="E36" s="93">
        <v>63.997999999999998</v>
      </c>
      <c r="F36" s="94">
        <v>12786</v>
      </c>
      <c r="G36" s="95">
        <v>2.02</v>
      </c>
      <c r="H36" s="95">
        <v>1.23</v>
      </c>
      <c r="I36" s="95">
        <v>1.76</v>
      </c>
      <c r="J36" s="95">
        <v>2.73</v>
      </c>
      <c r="K36" s="95">
        <v>4.16</v>
      </c>
      <c r="L36" s="95">
        <v>3.22</v>
      </c>
      <c r="M36" s="96">
        <v>6.78</v>
      </c>
    </row>
    <row r="37" spans="1:13" ht="31.5" customHeight="1" x14ac:dyDescent="0.2">
      <c r="A37" s="224" t="s">
        <v>26</v>
      </c>
      <c r="B37" s="225"/>
      <c r="C37" s="225"/>
      <c r="D37" s="226"/>
      <c r="E37" s="101">
        <f>E33+E36</f>
        <v>362.05576869452591</v>
      </c>
      <c r="F37" s="102">
        <f>F33+F36</f>
        <v>268782</v>
      </c>
      <c r="G37" s="103"/>
      <c r="H37" s="104"/>
      <c r="I37" s="104"/>
      <c r="J37" s="104"/>
      <c r="K37" s="104"/>
      <c r="L37" s="104"/>
      <c r="M37" s="104"/>
    </row>
    <row r="38" spans="1:13" ht="41.25" customHeight="1" x14ac:dyDescent="0.2">
      <c r="A38" s="207" t="s">
        <v>44</v>
      </c>
      <c r="B38" s="208"/>
      <c r="C38" s="208"/>
      <c r="D38" s="208"/>
      <c r="E38" s="208"/>
      <c r="F38" s="208"/>
      <c r="G38" s="208"/>
      <c r="H38" s="208"/>
      <c r="I38" s="208"/>
      <c r="J38" s="208"/>
      <c r="K38" s="208"/>
      <c r="L38" s="208"/>
      <c r="M38" s="209"/>
    </row>
    <row r="39" spans="1:13" s="4" customFormat="1" ht="24" customHeight="1" x14ac:dyDescent="0.2">
      <c r="A39" s="210" t="s">
        <v>24</v>
      </c>
      <c r="B39" s="211"/>
      <c r="C39" s="211"/>
      <c r="D39" s="211"/>
      <c r="E39" s="211"/>
      <c r="F39" s="211"/>
      <c r="G39" s="211"/>
      <c r="H39" s="211"/>
      <c r="I39" s="211"/>
      <c r="J39" s="211"/>
      <c r="K39" s="211"/>
      <c r="L39" s="211"/>
      <c r="M39" s="212"/>
    </row>
    <row r="40" spans="1:13" s="4" customFormat="1" ht="24" customHeight="1" x14ac:dyDescent="0.2">
      <c r="A40" s="188" t="s">
        <v>42</v>
      </c>
      <c r="B40" s="189"/>
      <c r="C40" s="189"/>
      <c r="D40" s="189"/>
      <c r="E40" s="189"/>
      <c r="F40" s="189"/>
      <c r="G40" s="189"/>
      <c r="H40" s="189"/>
      <c r="I40" s="189"/>
      <c r="J40" s="189"/>
      <c r="K40" s="189"/>
      <c r="L40" s="189"/>
      <c r="M40" s="190"/>
    </row>
    <row r="41" spans="1:13" ht="22.5" customHeight="1" x14ac:dyDescent="0.2">
      <c r="B41" s="11"/>
      <c r="C41" s="11"/>
      <c r="D41" s="11"/>
      <c r="E41" s="213" t="s">
        <v>39</v>
      </c>
      <c r="F41" s="214"/>
      <c r="G41" s="84">
        <f>($E$14*G14+$E$26*G26+$E$30*G30+$E$36*G36)/$E$37</f>
        <v>2.2144517487450797</v>
      </c>
      <c r="H41" s="84">
        <f>($E$14*H14+$E$26*H26+$E$30*H30+$E$36*H36)/$E$37</f>
        <v>0.89461614397081424</v>
      </c>
      <c r="I41" s="84">
        <f t="shared" ref="I41:M41" si="3">($E$14*I14+$E$26*I26+$E$30*I30+$E$36*I36)/$E$37</f>
        <v>2.0799933475243964</v>
      </c>
      <c r="J41" s="84">
        <f t="shared" si="3"/>
        <v>3.363866201791017</v>
      </c>
      <c r="K41" s="84">
        <f t="shared" si="3"/>
        <v>4.8062786876327754</v>
      </c>
      <c r="L41" s="84">
        <f t="shared" si="3"/>
        <v>3.1400184038228831</v>
      </c>
      <c r="M41" s="84">
        <f t="shared" si="3"/>
        <v>4.8864086744125288</v>
      </c>
    </row>
    <row r="42" spans="1:13" ht="16.5" customHeight="1" x14ac:dyDescent="0.2">
      <c r="B42" s="10"/>
      <c r="C42" s="10"/>
      <c r="D42" s="10"/>
      <c r="E42" s="16"/>
      <c r="F42" s="105" t="s">
        <v>45</v>
      </c>
      <c r="G42" s="85"/>
      <c r="H42" s="85">
        <f>H41-'Okt-2016'!H36</f>
        <v>-1.0062995603814959</v>
      </c>
      <c r="I42" s="85">
        <f>I41-'Okt-2016'!I36</f>
        <v>-0.68114209647590584</v>
      </c>
      <c r="J42" s="85">
        <f>J41-'Okt-2016'!J36</f>
        <v>-0.24389317785334175</v>
      </c>
      <c r="K42" s="85">
        <f>K41-'Okt-2016'!K36</f>
        <v>0.31272065492594958</v>
      </c>
      <c r="L42" s="85">
        <f>L41-'Okt-2016'!L36</f>
        <v>-0.1489896257361667</v>
      </c>
      <c r="M42" s="85">
        <f>M41-'Okt-2016'!M36</f>
        <v>-7.0734786157776064E-2</v>
      </c>
    </row>
    <row r="43" spans="1:13" x14ac:dyDescent="0.2">
      <c r="E43" s="17"/>
      <c r="F43" s="65"/>
      <c r="G43" s="65"/>
      <c r="H43" s="9"/>
      <c r="I43" s="9"/>
      <c r="J43" s="9"/>
      <c r="K43" s="9"/>
      <c r="L43" s="9"/>
      <c r="M43" s="9"/>
    </row>
    <row r="44" spans="1:13" x14ac:dyDescent="0.2">
      <c r="E44" s="18"/>
      <c r="F44" s="65"/>
      <c r="G44" s="65"/>
      <c r="H44" s="6"/>
      <c r="I44" s="6"/>
      <c r="J44" s="6"/>
      <c r="K44" s="6"/>
      <c r="L44" s="6"/>
      <c r="M44" s="6"/>
    </row>
    <row r="45" spans="1:13" x14ac:dyDescent="0.2">
      <c r="H45" s="7"/>
      <c r="I45" s="6"/>
      <c r="J45" s="6"/>
      <c r="K45" s="6"/>
      <c r="L45" s="6"/>
      <c r="M45" s="6"/>
    </row>
    <row r="46" spans="1:13" x14ac:dyDescent="0.2">
      <c r="A46" s="20" t="s">
        <v>86</v>
      </c>
      <c r="B46" s="86"/>
      <c r="C46" s="86"/>
      <c r="D46" s="20"/>
      <c r="E46" s="87">
        <f>E37-'DEC-2015'!E32</f>
        <v>31.658317947096748</v>
      </c>
      <c r="F46" s="88">
        <f>E46/'DEC-2015'!E32</f>
        <v>9.5818892898473979E-2</v>
      </c>
      <c r="H46" s="6"/>
      <c r="I46" s="6"/>
      <c r="J46" s="6"/>
      <c r="K46" s="6"/>
      <c r="L46" s="6"/>
      <c r="M46" s="6"/>
    </row>
    <row r="47" spans="1:13" x14ac:dyDescent="0.2">
      <c r="A47" s="20" t="s">
        <v>87</v>
      </c>
      <c r="B47" s="86"/>
      <c r="C47" s="86"/>
      <c r="D47" s="20"/>
      <c r="E47" s="89">
        <f>F37-'DEC-2015'!F32</f>
        <v>13770</v>
      </c>
      <c r="F47" s="88">
        <f>E47/'DEC-2015'!F32</f>
        <v>5.3997458943108562E-2</v>
      </c>
      <c r="H47" s="5"/>
      <c r="I47" s="5"/>
      <c r="J47" s="5"/>
      <c r="K47" s="5"/>
      <c r="L47" s="5"/>
      <c r="M47" s="5"/>
    </row>
  </sheetData>
  <mergeCells count="18">
    <mergeCell ref="A38:M38"/>
    <mergeCell ref="A39:M39"/>
    <mergeCell ref="E41:F41"/>
    <mergeCell ref="A4:M4"/>
    <mergeCell ref="A9:M9"/>
    <mergeCell ref="A16:M16"/>
    <mergeCell ref="A33:D33"/>
    <mergeCell ref="H33:M33"/>
    <mergeCell ref="A37:D37"/>
    <mergeCell ref="A5:M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55</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29" t="s">
        <v>3</v>
      </c>
      <c r="I3" s="129" t="s">
        <v>4</v>
      </c>
      <c r="J3" s="129" t="s">
        <v>5</v>
      </c>
      <c r="K3" s="129" t="s">
        <v>6</v>
      </c>
      <c r="L3" s="71" t="s">
        <v>41</v>
      </c>
      <c r="M3" s="130"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39514</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220" t="s">
        <v>37</v>
      </c>
      <c r="B28" s="220"/>
      <c r="C28" s="220"/>
      <c r="D28" s="220"/>
      <c r="E28" s="70">
        <f>SUM(E10,E27)</f>
        <v>265.12865701493411</v>
      </c>
      <c r="F28" s="53">
        <f>SUM(F10, F27)</f>
        <v>243476</v>
      </c>
      <c r="G28" s="128"/>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224" t="s">
        <v>26</v>
      </c>
      <c r="B32" s="225"/>
      <c r="C32" s="225"/>
      <c r="D32" s="226"/>
      <c r="E32" s="101">
        <f>E28+E31</f>
        <v>326.5906570149341</v>
      </c>
      <c r="F32" s="102">
        <f>F28+F31</f>
        <v>256185</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213" t="s">
        <v>39</v>
      </c>
      <c r="F36" s="214"/>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58</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31" t="s">
        <v>3</v>
      </c>
      <c r="I3" s="131" t="s">
        <v>4</v>
      </c>
      <c r="J3" s="131" t="s">
        <v>5</v>
      </c>
      <c r="K3" s="131" t="s">
        <v>6</v>
      </c>
      <c r="L3" s="71" t="s">
        <v>41</v>
      </c>
      <c r="M3" s="132"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39514</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220" t="s">
        <v>37</v>
      </c>
      <c r="B28" s="220"/>
      <c r="C28" s="220"/>
      <c r="D28" s="220"/>
      <c r="E28" s="70">
        <f>SUM(E10,E27)</f>
        <v>265.95679741810545</v>
      </c>
      <c r="F28" s="53">
        <f>SUM(F10, F27)</f>
        <v>244732</v>
      </c>
      <c r="G28" s="136"/>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224" t="s">
        <v>26</v>
      </c>
      <c r="B32" s="225"/>
      <c r="C32" s="225"/>
      <c r="D32" s="226"/>
      <c r="E32" s="101">
        <f>E28+E31</f>
        <v>327.29779741810546</v>
      </c>
      <c r="F32" s="102">
        <f>F28+F31</f>
        <v>257445</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213" t="s">
        <v>39</v>
      </c>
      <c r="F36" s="214"/>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61</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37" t="s">
        <v>3</v>
      </c>
      <c r="I3" s="137" t="s">
        <v>4</v>
      </c>
      <c r="J3" s="137" t="s">
        <v>5</v>
      </c>
      <c r="K3" s="137" t="s">
        <v>6</v>
      </c>
      <c r="L3" s="71" t="s">
        <v>41</v>
      </c>
      <c r="M3" s="138"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39514</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220" t="s">
        <v>37</v>
      </c>
      <c r="B28" s="220"/>
      <c r="C28" s="220"/>
      <c r="D28" s="220"/>
      <c r="E28" s="70">
        <f>SUM(E10,E27)</f>
        <v>269.87077185927313</v>
      </c>
      <c r="F28" s="53">
        <f>SUM(F10, F27)</f>
        <v>245956</v>
      </c>
      <c r="G28" s="142"/>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224" t="s">
        <v>26</v>
      </c>
      <c r="B32" s="225"/>
      <c r="C32" s="225"/>
      <c r="D32" s="226"/>
      <c r="E32" s="101">
        <f>E28+E31</f>
        <v>331.81477185927315</v>
      </c>
      <c r="F32" s="102">
        <f>F28+F31</f>
        <v>258670</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213" t="s">
        <v>39</v>
      </c>
      <c r="F36" s="214"/>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64</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47" t="s">
        <v>3</v>
      </c>
      <c r="I3" s="147" t="s">
        <v>4</v>
      </c>
      <c r="J3" s="147" t="s">
        <v>5</v>
      </c>
      <c r="K3" s="147" t="s">
        <v>6</v>
      </c>
      <c r="L3" s="71" t="s">
        <v>41</v>
      </c>
      <c r="M3" s="148"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39514</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220" t="s">
        <v>37</v>
      </c>
      <c r="B28" s="220"/>
      <c r="C28" s="220"/>
      <c r="D28" s="220"/>
      <c r="E28" s="70">
        <f>SUM(E10,E27)</f>
        <v>272.74602690462063</v>
      </c>
      <c r="F28" s="53">
        <f>SUM(F10, F27)</f>
        <v>247135</v>
      </c>
      <c r="G28" s="146"/>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224" t="s">
        <v>26</v>
      </c>
      <c r="B32" s="225"/>
      <c r="C32" s="225"/>
      <c r="D32" s="226"/>
      <c r="E32" s="101">
        <f>E28+E31</f>
        <v>335.08702690462064</v>
      </c>
      <c r="F32" s="102">
        <f>F28+F31</f>
        <v>259863</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213" t="s">
        <v>39</v>
      </c>
      <c r="F36" s="214"/>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67</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53" t="s">
        <v>3</v>
      </c>
      <c r="I3" s="153" t="s">
        <v>4</v>
      </c>
      <c r="J3" s="153" t="s">
        <v>5</v>
      </c>
      <c r="K3" s="153" t="s">
        <v>6</v>
      </c>
      <c r="L3" s="71" t="s">
        <v>41</v>
      </c>
      <c r="M3" s="154"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x14ac:dyDescent="0.2">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x14ac:dyDescent="0.2">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x14ac:dyDescent="0.2">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x14ac:dyDescent="0.2">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x14ac:dyDescent="0.2">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x14ac:dyDescent="0.2">
      <c r="A15" s="61" t="s">
        <v>50</v>
      </c>
      <c r="B15" s="12" t="s">
        <v>8</v>
      </c>
      <c r="C15" s="12" t="s">
        <v>21</v>
      </c>
      <c r="D15" s="23">
        <v>39514</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x14ac:dyDescent="0.2">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x14ac:dyDescent="0.2">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x14ac:dyDescent="0.2">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x14ac:dyDescent="0.2">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x14ac:dyDescent="0.2">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x14ac:dyDescent="0.2">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x14ac:dyDescent="0.2">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x14ac:dyDescent="0.2">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x14ac:dyDescent="0.2">
      <c r="A28" s="220" t="s">
        <v>37</v>
      </c>
      <c r="B28" s="220"/>
      <c r="C28" s="220"/>
      <c r="D28" s="220"/>
      <c r="E28" s="70">
        <f>SUM(E10,E27)</f>
        <v>275.37223714119381</v>
      </c>
      <c r="F28" s="53">
        <f>SUM(F10, F27)</f>
        <v>248307</v>
      </c>
      <c r="G28" s="152"/>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x14ac:dyDescent="0.2">
      <c r="A32" s="224" t="s">
        <v>26</v>
      </c>
      <c r="B32" s="225"/>
      <c r="C32" s="225"/>
      <c r="D32" s="226"/>
      <c r="E32" s="101">
        <f>E28+E31</f>
        <v>338.01823714119382</v>
      </c>
      <c r="F32" s="102">
        <f>F28+F31</f>
        <v>261038</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49" t="s">
        <v>42</v>
      </c>
      <c r="B35" s="150"/>
      <c r="C35" s="150"/>
      <c r="D35" s="150"/>
      <c r="E35" s="150"/>
      <c r="F35" s="150"/>
      <c r="G35" s="150"/>
      <c r="H35" s="150"/>
      <c r="I35" s="150"/>
      <c r="J35" s="150"/>
      <c r="K35" s="150"/>
      <c r="L35" s="150"/>
      <c r="M35" s="151"/>
    </row>
    <row r="36" spans="1:13" ht="22.5" customHeight="1" x14ac:dyDescent="0.2">
      <c r="B36" s="11"/>
      <c r="C36" s="11"/>
      <c r="D36" s="11"/>
      <c r="E36" s="213" t="s">
        <v>39</v>
      </c>
      <c r="F36" s="214"/>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x14ac:dyDescent="0.2">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68</v>
      </c>
      <c r="B41" s="86"/>
      <c r="C41" s="86"/>
      <c r="D41" s="20"/>
      <c r="E41" s="87">
        <f>E32-'DEC-2015'!E32</f>
        <v>7.6207863937646607</v>
      </c>
      <c r="F41" s="88">
        <f>E41/'DEC-2015'!E32</f>
        <v>2.3065512087108494E-2</v>
      </c>
      <c r="H41" s="6"/>
      <c r="I41" s="6"/>
      <c r="J41" s="6"/>
      <c r="K41" s="6"/>
      <c r="L41" s="6"/>
      <c r="M41" s="6"/>
    </row>
    <row r="42" spans="1:13" x14ac:dyDescent="0.2">
      <c r="A42" s="20" t="s">
        <v>69</v>
      </c>
      <c r="B42" s="86"/>
      <c r="C42" s="86"/>
      <c r="D42" s="20"/>
      <c r="E42" s="89">
        <f>F32-'DEC-2015'!F32</f>
        <v>6026</v>
      </c>
      <c r="F42" s="88">
        <f>E42/'DEC-2015'!F32</f>
        <v>2.3630260536759054E-2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70</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59" t="s">
        <v>3</v>
      </c>
      <c r="I3" s="159" t="s">
        <v>4</v>
      </c>
      <c r="J3" s="159" t="s">
        <v>5</v>
      </c>
      <c r="K3" s="159" t="s">
        <v>6</v>
      </c>
      <c r="L3" s="71" t="s">
        <v>41</v>
      </c>
      <c r="M3" s="160"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x14ac:dyDescent="0.2">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x14ac:dyDescent="0.2">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x14ac:dyDescent="0.2">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x14ac:dyDescent="0.2">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x14ac:dyDescent="0.2">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x14ac:dyDescent="0.2">
      <c r="A15" s="61" t="s">
        <v>50</v>
      </c>
      <c r="B15" s="12" t="s">
        <v>8</v>
      </c>
      <c r="C15" s="12" t="s">
        <v>21</v>
      </c>
      <c r="D15" s="23">
        <v>39514</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x14ac:dyDescent="0.2">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x14ac:dyDescent="0.2">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x14ac:dyDescent="0.2">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x14ac:dyDescent="0.2">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x14ac:dyDescent="0.2">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x14ac:dyDescent="0.2">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x14ac:dyDescent="0.2">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x14ac:dyDescent="0.2">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x14ac:dyDescent="0.2">
      <c r="A28" s="220" t="s">
        <v>37</v>
      </c>
      <c r="B28" s="220"/>
      <c r="C28" s="220"/>
      <c r="D28" s="220"/>
      <c r="E28" s="70">
        <f>SUM(E10,E27)</f>
        <v>277.48686363981489</v>
      </c>
      <c r="F28" s="53">
        <f>SUM(F10, F27)</f>
        <v>249188</v>
      </c>
      <c r="G28" s="158"/>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x14ac:dyDescent="0.2">
      <c r="A32" s="224" t="s">
        <v>26</v>
      </c>
      <c r="B32" s="225"/>
      <c r="C32" s="225"/>
      <c r="D32" s="226"/>
      <c r="E32" s="101">
        <f>E28+E31</f>
        <v>340.33686363981491</v>
      </c>
      <c r="F32" s="102">
        <f>F28+F31</f>
        <v>261925</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55" t="s">
        <v>42</v>
      </c>
      <c r="B35" s="156"/>
      <c r="C35" s="156"/>
      <c r="D35" s="156"/>
      <c r="E35" s="156"/>
      <c r="F35" s="156"/>
      <c r="G35" s="156"/>
      <c r="H35" s="156"/>
      <c r="I35" s="156"/>
      <c r="J35" s="156"/>
      <c r="K35" s="156"/>
      <c r="L35" s="156"/>
      <c r="M35" s="157"/>
    </row>
    <row r="36" spans="1:13" ht="22.5" customHeight="1" x14ac:dyDescent="0.2">
      <c r="B36" s="11"/>
      <c r="C36" s="11"/>
      <c r="D36" s="11"/>
      <c r="E36" s="213" t="s">
        <v>39</v>
      </c>
      <c r="F36" s="214"/>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x14ac:dyDescent="0.2">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71</v>
      </c>
      <c r="B41" s="86"/>
      <c r="C41" s="86"/>
      <c r="D41" s="20"/>
      <c r="E41" s="87">
        <f>E32-'DEC-2015'!E32</f>
        <v>9.9394128923857465</v>
      </c>
      <c r="F41" s="88">
        <f>E41/'DEC-2015'!E32</f>
        <v>3.0083200914234311E-2</v>
      </c>
      <c r="H41" s="6"/>
      <c r="I41" s="6"/>
      <c r="J41" s="6"/>
      <c r="K41" s="6"/>
      <c r="L41" s="6"/>
      <c r="M41" s="6"/>
    </row>
    <row r="42" spans="1:13" x14ac:dyDescent="0.2">
      <c r="A42" s="20" t="s">
        <v>72</v>
      </c>
      <c r="B42" s="86"/>
      <c r="C42" s="86"/>
      <c r="D42" s="20"/>
      <c r="E42" s="89">
        <f>F32-'DEC-2015'!F32</f>
        <v>6913</v>
      </c>
      <c r="F42" s="88">
        <f>E42/'DEC-2015'!F32</f>
        <v>2.7108528226122693E-2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73</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65" t="s">
        <v>3</v>
      </c>
      <c r="I3" s="165" t="s">
        <v>4</v>
      </c>
      <c r="J3" s="165" t="s">
        <v>5</v>
      </c>
      <c r="K3" s="165" t="s">
        <v>6</v>
      </c>
      <c r="L3" s="71" t="s">
        <v>41</v>
      </c>
      <c r="M3" s="166"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x14ac:dyDescent="0.2">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x14ac:dyDescent="0.2">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x14ac:dyDescent="0.2">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x14ac:dyDescent="0.2">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x14ac:dyDescent="0.2">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x14ac:dyDescent="0.2">
      <c r="A15" s="61" t="s">
        <v>50</v>
      </c>
      <c r="B15" s="12" t="s">
        <v>8</v>
      </c>
      <c r="C15" s="12" t="s">
        <v>21</v>
      </c>
      <c r="D15" s="23">
        <v>39514</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x14ac:dyDescent="0.2">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x14ac:dyDescent="0.2">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x14ac:dyDescent="0.2">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x14ac:dyDescent="0.2">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x14ac:dyDescent="0.2">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x14ac:dyDescent="0.2">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x14ac:dyDescent="0.2">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x14ac:dyDescent="0.2">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x14ac:dyDescent="0.2">
      <c r="A28" s="220" t="s">
        <v>37</v>
      </c>
      <c r="B28" s="220"/>
      <c r="C28" s="220"/>
      <c r="D28" s="220"/>
      <c r="E28" s="70">
        <f>SUM(E10,E27)</f>
        <v>283.44495173685772</v>
      </c>
      <c r="F28" s="53">
        <f>SUM(F10, F27)</f>
        <v>250065</v>
      </c>
      <c r="G28" s="164"/>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x14ac:dyDescent="0.2">
      <c r="A32" s="224" t="s">
        <v>26</v>
      </c>
      <c r="B32" s="225"/>
      <c r="C32" s="225"/>
      <c r="D32" s="226"/>
      <c r="E32" s="101">
        <f>E28+E31</f>
        <v>347.02395173685773</v>
      </c>
      <c r="F32" s="102">
        <f>F28+F31</f>
        <v>262805</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61" t="s">
        <v>42</v>
      </c>
      <c r="B35" s="162"/>
      <c r="C35" s="162"/>
      <c r="D35" s="162"/>
      <c r="E35" s="162"/>
      <c r="F35" s="162"/>
      <c r="G35" s="162"/>
      <c r="H35" s="162"/>
      <c r="I35" s="162"/>
      <c r="J35" s="162"/>
      <c r="K35" s="162"/>
      <c r="L35" s="162"/>
      <c r="M35" s="163"/>
    </row>
    <row r="36" spans="1:13" ht="22.5" customHeight="1" x14ac:dyDescent="0.2">
      <c r="B36" s="11"/>
      <c r="C36" s="11"/>
      <c r="D36" s="11"/>
      <c r="E36" s="213" t="s">
        <v>39</v>
      </c>
      <c r="F36" s="214"/>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x14ac:dyDescent="0.2">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74</v>
      </c>
      <c r="B41" s="86"/>
      <c r="C41" s="86"/>
      <c r="D41" s="20"/>
      <c r="E41" s="87">
        <f>E32-'DEC-2015'!E32</f>
        <v>16.626500989428564</v>
      </c>
      <c r="F41" s="88">
        <f>E41/'DEC-2015'!E32</f>
        <v>5.0322727829212634E-2</v>
      </c>
      <c r="H41" s="6"/>
      <c r="I41" s="6"/>
      <c r="J41" s="6"/>
      <c r="K41" s="6"/>
      <c r="L41" s="6"/>
      <c r="M41" s="6"/>
    </row>
    <row r="42" spans="1:13" x14ac:dyDescent="0.2">
      <c r="A42" s="20" t="s">
        <v>75</v>
      </c>
      <c r="B42" s="86"/>
      <c r="C42" s="86"/>
      <c r="D42" s="20"/>
      <c r="E42" s="89">
        <f>F32-'DEC-2015'!F32</f>
        <v>7793</v>
      </c>
      <c r="F42" s="88">
        <f>E42/'DEC-2015'!F32</f>
        <v>3.0559346226844229E-2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27" t="s">
        <v>76</v>
      </c>
      <c r="B1" s="227"/>
      <c r="C1" s="227"/>
      <c r="D1" s="227"/>
      <c r="E1" s="227"/>
      <c r="F1" s="227"/>
      <c r="G1" s="227"/>
      <c r="H1" s="227"/>
      <c r="I1" s="227"/>
      <c r="J1" s="227"/>
      <c r="K1" s="227"/>
      <c r="L1" s="227"/>
      <c r="M1" s="227"/>
    </row>
    <row r="2" spans="1:15" ht="24" customHeight="1" x14ac:dyDescent="0.2">
      <c r="A2" s="228" t="s">
        <v>0</v>
      </c>
      <c r="B2" s="229" t="s">
        <v>10</v>
      </c>
      <c r="C2" s="230" t="s">
        <v>15</v>
      </c>
      <c r="D2" s="231" t="s">
        <v>29</v>
      </c>
      <c r="E2" s="232" t="s">
        <v>43</v>
      </c>
      <c r="F2" s="233" t="s">
        <v>1</v>
      </c>
      <c r="G2" s="234" t="s">
        <v>2</v>
      </c>
      <c r="H2" s="235"/>
      <c r="I2" s="235"/>
      <c r="J2" s="235"/>
      <c r="K2" s="235"/>
      <c r="L2" s="235"/>
      <c r="M2" s="236"/>
    </row>
    <row r="3" spans="1:15" ht="42.75" customHeight="1" x14ac:dyDescent="0.2">
      <c r="A3" s="228"/>
      <c r="B3" s="229"/>
      <c r="C3" s="230"/>
      <c r="D3" s="231"/>
      <c r="E3" s="232"/>
      <c r="F3" s="233"/>
      <c r="G3" s="72" t="s">
        <v>40</v>
      </c>
      <c r="H3" s="172" t="s">
        <v>3</v>
      </c>
      <c r="I3" s="172" t="s">
        <v>4</v>
      </c>
      <c r="J3" s="172" t="s">
        <v>5</v>
      </c>
      <c r="K3" s="172" t="s">
        <v>6</v>
      </c>
      <c r="L3" s="71" t="s">
        <v>41</v>
      </c>
      <c r="M3" s="173" t="s">
        <v>7</v>
      </c>
    </row>
    <row r="4" spans="1:15" ht="26.25" customHeight="1" x14ac:dyDescent="0.2">
      <c r="A4" s="215" t="s">
        <v>38</v>
      </c>
      <c r="B4" s="216"/>
      <c r="C4" s="216"/>
      <c r="D4" s="216"/>
      <c r="E4" s="216"/>
      <c r="F4" s="216"/>
      <c r="G4" s="216"/>
      <c r="H4" s="216"/>
      <c r="I4" s="216"/>
      <c r="J4" s="216"/>
      <c r="K4" s="216"/>
      <c r="L4" s="216"/>
      <c r="M4" s="217"/>
    </row>
    <row r="5" spans="1:15" ht="23.25" customHeight="1" x14ac:dyDescent="0.2">
      <c r="A5" s="218" t="s">
        <v>33</v>
      </c>
      <c r="B5" s="218"/>
      <c r="C5" s="218"/>
      <c r="D5" s="218"/>
      <c r="E5" s="218"/>
      <c r="F5" s="218"/>
      <c r="G5" s="218"/>
      <c r="H5" s="218"/>
      <c r="I5" s="218"/>
      <c r="J5" s="218"/>
      <c r="K5" s="218"/>
      <c r="L5" s="218"/>
      <c r="M5" s="218"/>
    </row>
    <row r="6" spans="1:15" s="14" customFormat="1" x14ac:dyDescent="0.2">
      <c r="A6" s="58" t="s">
        <v>46</v>
      </c>
      <c r="B6" s="12" t="s">
        <v>8</v>
      </c>
      <c r="C6" s="12" t="s">
        <v>23</v>
      </c>
      <c r="D6" s="23">
        <v>36433</v>
      </c>
      <c r="E6" s="91">
        <v>26.49658621</v>
      </c>
      <c r="F6" s="64">
        <v>29736</v>
      </c>
      <c r="G6" s="73">
        <v>2.872603432297514</v>
      </c>
      <c r="H6" s="90">
        <v>2.7193613290305674</v>
      </c>
      <c r="I6" s="90">
        <v>1.9574943249647925</v>
      </c>
      <c r="J6" s="90">
        <v>3.1365261239398867</v>
      </c>
      <c r="K6" s="90">
        <v>3.5657698919246528</v>
      </c>
      <c r="L6" s="90">
        <v>3.3794368588883295</v>
      </c>
      <c r="M6" s="90">
        <v>5.3080730548544564</v>
      </c>
    </row>
    <row r="7" spans="1:15" s="2" customFormat="1" ht="12.75" customHeight="1" x14ac:dyDescent="0.2">
      <c r="A7" s="58" t="s">
        <v>27</v>
      </c>
      <c r="B7" s="12" t="s">
        <v>8</v>
      </c>
      <c r="C7" s="12" t="s">
        <v>18</v>
      </c>
      <c r="D7" s="24">
        <v>40834</v>
      </c>
      <c r="E7" s="113">
        <v>10.571</v>
      </c>
      <c r="F7" s="114">
        <v>7730</v>
      </c>
      <c r="G7" s="74">
        <v>3.14</v>
      </c>
      <c r="H7" s="74">
        <v>3.38</v>
      </c>
      <c r="I7" s="74">
        <v>2.25</v>
      </c>
      <c r="J7" s="74">
        <v>3.65</v>
      </c>
      <c r="K7" s="74"/>
      <c r="L7" s="74"/>
      <c r="M7" s="75">
        <v>3.72</v>
      </c>
    </row>
    <row r="8" spans="1:15" s="2" customFormat="1" ht="12.75" customHeight="1" x14ac:dyDescent="0.2">
      <c r="A8" s="58" t="s">
        <v>30</v>
      </c>
      <c r="B8" s="12" t="s">
        <v>8</v>
      </c>
      <c r="C8" s="12" t="s">
        <v>18</v>
      </c>
      <c r="D8" s="24">
        <v>36738</v>
      </c>
      <c r="E8" s="92">
        <v>87.670522000000005</v>
      </c>
      <c r="F8" s="25">
        <v>47097</v>
      </c>
      <c r="G8" s="106">
        <v>3.73</v>
      </c>
      <c r="H8" s="97">
        <v>4.09</v>
      </c>
      <c r="I8" s="97">
        <v>3.49</v>
      </c>
      <c r="J8" s="97">
        <v>3.93</v>
      </c>
      <c r="K8" s="106">
        <v>4.07</v>
      </c>
      <c r="L8" s="106">
        <v>3.98</v>
      </c>
      <c r="M8" s="106">
        <v>4.78</v>
      </c>
    </row>
    <row r="9" spans="1:15" ht="12.75" customHeight="1" x14ac:dyDescent="0.2">
      <c r="A9" s="59" t="s">
        <v>11</v>
      </c>
      <c r="B9" s="26" t="s">
        <v>8</v>
      </c>
      <c r="C9" s="26" t="s">
        <v>18</v>
      </c>
      <c r="D9" s="27">
        <v>37816</v>
      </c>
      <c r="E9" s="116">
        <v>38.7189144906202</v>
      </c>
      <c r="F9" s="117">
        <v>36193</v>
      </c>
      <c r="G9" s="118">
        <v>1.2347946714209801</v>
      </c>
      <c r="H9" s="118">
        <v>1.7756400386427007</v>
      </c>
      <c r="I9" s="118">
        <v>2.6199172222114209</v>
      </c>
      <c r="J9" s="118">
        <v>4.1186685539547963</v>
      </c>
      <c r="K9" s="13">
        <v>4.3124999932206531</v>
      </c>
      <c r="L9" s="115">
        <v>2.9717798382791871</v>
      </c>
      <c r="M9" s="13">
        <v>2.9808866608606932</v>
      </c>
    </row>
    <row r="10" spans="1:15" s="20" customFormat="1" ht="23.25" customHeight="1" x14ac:dyDescent="0.2">
      <c r="A10" s="41" t="s">
        <v>35</v>
      </c>
      <c r="B10" s="42" t="s">
        <v>8</v>
      </c>
      <c r="C10" s="42"/>
      <c r="D10" s="43"/>
      <c r="E10" s="63">
        <f>SUM(E6:E9)</f>
        <v>163.4570227006202</v>
      </c>
      <c r="F10" s="44">
        <f>SUM(F6:F9)</f>
        <v>120756</v>
      </c>
      <c r="G10" s="107">
        <f>($E$6*G6+$E$7*G7+$E$8*G8+$E$9*G9+$E$31*G31)/($E$10+$E$31)</f>
        <v>2.7812851608677023</v>
      </c>
      <c r="H10" s="108">
        <f>($E$6*H6+$E$7*H7+$E$8*H8+$E$9*H9+$E$31*H31)/($E$10+$E$31)</f>
        <v>3.0420076624718759</v>
      </c>
      <c r="I10" s="108">
        <f>($E$6*I6+$E$7*I7+$E$8*I8+$E$9*I9+$E$31*I31)/($E$10+$E$31)</f>
        <v>2.7962871115263095</v>
      </c>
      <c r="J10" s="108">
        <f>($E$6*J6+$E$8*J8+$E$9*J9+$E$31*J31+E7*J7)/($E$6+$E$8+$E$9+$E$31+E7)</f>
        <v>3.7497778464829721</v>
      </c>
      <c r="K10" s="108">
        <f>($E$6*K6+$E$8*K8+$E$9*K9+$E$31*K31)/($E$6+$E$8+$E$9+$E$31)</f>
        <v>4.045788320818664</v>
      </c>
      <c r="L10" s="108">
        <f>($E$6*L6+$E$8*L8+$E$9*L9+$E$31*L31)/($E$6+$E$8+$E$9+$E$31)</f>
        <v>3.6528579788886795</v>
      </c>
      <c r="M10" s="109">
        <f>($E$6*M6+$E$7*M7+$E$8*M8+$E$9*M9+$E$31*M31)/($E$10+$E$31)</f>
        <v>5.0878758742314476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19" t="s">
        <v>34</v>
      </c>
      <c r="B12" s="219"/>
      <c r="C12" s="219"/>
      <c r="D12" s="219"/>
      <c r="E12" s="219"/>
      <c r="F12" s="219"/>
      <c r="G12" s="219"/>
      <c r="H12" s="219"/>
      <c r="I12" s="219"/>
      <c r="J12" s="219"/>
      <c r="K12" s="219"/>
      <c r="L12" s="219"/>
      <c r="M12" s="219"/>
    </row>
    <row r="13" spans="1:15" x14ac:dyDescent="0.2">
      <c r="A13" s="61" t="s">
        <v>47</v>
      </c>
      <c r="B13" s="12" t="s">
        <v>8</v>
      </c>
      <c r="C13" s="12" t="s">
        <v>16</v>
      </c>
      <c r="D13" s="23">
        <v>36606</v>
      </c>
      <c r="E13" s="91">
        <v>12.656234019999999</v>
      </c>
      <c r="F13" s="64">
        <v>23299</v>
      </c>
      <c r="G13" s="73">
        <v>1.6182284326164784</v>
      </c>
      <c r="H13" s="90">
        <v>2.1473059835956487</v>
      </c>
      <c r="I13" s="90">
        <v>2.2925027476326187</v>
      </c>
      <c r="J13" s="90">
        <v>3.5100244228984945</v>
      </c>
      <c r="K13" s="90">
        <v>4.3595225779983648</v>
      </c>
      <c r="L13" s="90">
        <v>3.5143893771405477</v>
      </c>
      <c r="M13" s="90">
        <v>5.1722972890118957</v>
      </c>
    </row>
    <row r="14" spans="1:15" x14ac:dyDescent="0.2">
      <c r="A14" s="61" t="s">
        <v>49</v>
      </c>
      <c r="B14" s="12" t="s">
        <v>8</v>
      </c>
      <c r="C14" s="12" t="s">
        <v>17</v>
      </c>
      <c r="D14" s="23">
        <v>36091</v>
      </c>
      <c r="E14" s="92">
        <v>0.40679304999999999</v>
      </c>
      <c r="F14" s="25">
        <v>496</v>
      </c>
      <c r="G14" s="74">
        <v>0.97624417085511173</v>
      </c>
      <c r="H14" s="74">
        <v>3.0730515645110756</v>
      </c>
      <c r="I14" s="74">
        <v>1.4395518707557953</v>
      </c>
      <c r="J14" s="74">
        <v>3.8326288189866942</v>
      </c>
      <c r="K14" s="74">
        <v>4.370573134011102</v>
      </c>
      <c r="L14" s="115"/>
      <c r="M14" s="74">
        <v>4.5264702906468779</v>
      </c>
      <c r="N14" s="2"/>
      <c r="O14" s="2"/>
    </row>
    <row r="15" spans="1:15" ht="13.5" customHeight="1" x14ac:dyDescent="0.2">
      <c r="A15" s="61" t="s">
        <v>50</v>
      </c>
      <c r="B15" s="12" t="s">
        <v>8</v>
      </c>
      <c r="C15" s="12" t="s">
        <v>21</v>
      </c>
      <c r="D15" s="23">
        <v>39514</v>
      </c>
      <c r="E15" s="92">
        <v>6.4452579999999995E-2</v>
      </c>
      <c r="F15" s="25">
        <v>102</v>
      </c>
      <c r="G15" s="74">
        <v>1.0478639499235554</v>
      </c>
      <c r="H15" s="74">
        <v>2.4829632815358105</v>
      </c>
      <c r="I15" s="74">
        <v>0.14264673534056804</v>
      </c>
      <c r="J15" s="74">
        <v>2.3994681629066816</v>
      </c>
      <c r="K15" s="74">
        <v>3.0244368672089239</v>
      </c>
      <c r="L15" s="115"/>
      <c r="M15" s="74">
        <v>3.3438450007498899</v>
      </c>
      <c r="N15" s="2"/>
      <c r="O15" s="2"/>
    </row>
    <row r="16" spans="1:15" ht="12.75" customHeight="1" x14ac:dyDescent="0.2">
      <c r="A16" s="61" t="s">
        <v>51</v>
      </c>
      <c r="B16" s="12" t="s">
        <v>8</v>
      </c>
      <c r="C16" s="12" t="s">
        <v>16</v>
      </c>
      <c r="D16" s="23">
        <v>39514</v>
      </c>
      <c r="E16" s="92">
        <v>0.64808616000000008</v>
      </c>
      <c r="F16" s="25">
        <v>1711</v>
      </c>
      <c r="G16" s="74">
        <v>1.0261134346411405</v>
      </c>
      <c r="H16" s="74">
        <v>5.8620623960627061</v>
      </c>
      <c r="I16" s="74">
        <v>2.75425744981459</v>
      </c>
      <c r="J16" s="74">
        <v>3.7391767391295794</v>
      </c>
      <c r="K16" s="74">
        <v>3.7031030917298313</v>
      </c>
      <c r="L16" s="115"/>
      <c r="M16" s="74">
        <v>4.6104357765802906</v>
      </c>
      <c r="N16" s="2"/>
      <c r="O16" s="2"/>
    </row>
    <row r="17" spans="1:15" ht="12.75" customHeight="1" x14ac:dyDescent="0.2">
      <c r="A17" s="58" t="s">
        <v>12</v>
      </c>
      <c r="B17" s="12" t="s">
        <v>8</v>
      </c>
      <c r="C17" s="12" t="s">
        <v>19</v>
      </c>
      <c r="D17" s="24">
        <v>40834</v>
      </c>
      <c r="E17" s="113">
        <v>5.8810000000000002</v>
      </c>
      <c r="F17" s="114">
        <v>4817</v>
      </c>
      <c r="G17" s="74">
        <v>0.67</v>
      </c>
      <c r="H17" s="74">
        <v>1.9</v>
      </c>
      <c r="I17" s="115">
        <v>2.87</v>
      </c>
      <c r="J17" s="115">
        <v>5.44</v>
      </c>
      <c r="K17" s="115"/>
      <c r="L17" s="115"/>
      <c r="M17" s="74">
        <v>4.6900000000000004</v>
      </c>
      <c r="N17" s="79"/>
      <c r="O17" s="2"/>
    </row>
    <row r="18" spans="1:15" x14ac:dyDescent="0.2">
      <c r="A18" s="58" t="s">
        <v>31</v>
      </c>
      <c r="B18" s="12" t="s">
        <v>8</v>
      </c>
      <c r="C18" s="12" t="s">
        <v>16</v>
      </c>
      <c r="D18" s="24">
        <v>38245</v>
      </c>
      <c r="E18" s="92">
        <v>39.561256999999998</v>
      </c>
      <c r="F18" s="25">
        <v>36171</v>
      </c>
      <c r="G18" s="106">
        <v>3.28</v>
      </c>
      <c r="H18" s="106">
        <v>4.09</v>
      </c>
      <c r="I18" s="97">
        <v>3.96</v>
      </c>
      <c r="J18" s="106">
        <v>4.68</v>
      </c>
      <c r="K18" s="97">
        <v>5.01</v>
      </c>
      <c r="L18" s="97">
        <v>3.9</v>
      </c>
      <c r="M18" s="97">
        <v>5.03</v>
      </c>
      <c r="N18" s="2"/>
      <c r="O18" s="2"/>
    </row>
    <row r="19" spans="1:15" ht="12.75" customHeight="1" x14ac:dyDescent="0.2">
      <c r="A19" s="60" t="s">
        <v>13</v>
      </c>
      <c r="B19" s="22" t="s">
        <v>8</v>
      </c>
      <c r="C19" s="22" t="s">
        <v>20</v>
      </c>
      <c r="D19" s="23">
        <v>37834</v>
      </c>
      <c r="E19" s="116">
        <v>47.123249726610098</v>
      </c>
      <c r="F19" s="117">
        <v>44221</v>
      </c>
      <c r="G19" s="118">
        <v>1.8615572705099392</v>
      </c>
      <c r="H19" s="118">
        <v>3.0677309502140648</v>
      </c>
      <c r="I19" s="118">
        <v>3.7337599134386723</v>
      </c>
      <c r="J19" s="118">
        <v>5.8225844205454624</v>
      </c>
      <c r="K19" s="13">
        <v>6.1591429766020278</v>
      </c>
      <c r="L19" s="115">
        <v>2.6118452176987494</v>
      </c>
      <c r="M19" s="13">
        <v>3.8295248813737359</v>
      </c>
      <c r="N19" s="2"/>
      <c r="O19" s="2"/>
    </row>
    <row r="20" spans="1:15" ht="12.75" customHeight="1" x14ac:dyDescent="0.2">
      <c r="A20" s="61" t="s">
        <v>28</v>
      </c>
      <c r="B20" s="22" t="s">
        <v>8</v>
      </c>
      <c r="C20" s="22" t="s">
        <v>25</v>
      </c>
      <c r="D20" s="23">
        <v>39078</v>
      </c>
      <c r="E20" s="116">
        <v>12.970912110488801</v>
      </c>
      <c r="F20" s="117">
        <v>16617</v>
      </c>
      <c r="G20" s="118">
        <v>1.4008598332892586</v>
      </c>
      <c r="H20" s="118">
        <v>3.4104684066484703</v>
      </c>
      <c r="I20" s="118">
        <v>4.7127888696725906</v>
      </c>
      <c r="J20" s="118">
        <v>7.9410656590447326</v>
      </c>
      <c r="K20" s="13">
        <v>8.5197037167020095</v>
      </c>
      <c r="L20" s="115"/>
      <c r="M20" s="13">
        <v>0.27481401089781698</v>
      </c>
      <c r="N20" s="2"/>
      <c r="O20" s="2"/>
    </row>
    <row r="21" spans="1:15" ht="12.75" customHeight="1" x14ac:dyDescent="0.2">
      <c r="A21" s="30" t="s">
        <v>34</v>
      </c>
      <c r="B21" s="31" t="s">
        <v>8</v>
      </c>
      <c r="C21" s="31"/>
      <c r="D21" s="32"/>
      <c r="E21" s="67">
        <f>SUM(E13:E20)</f>
        <v>119.31198464709888</v>
      </c>
      <c r="F21" s="33">
        <f>SUM(F13:F20)</f>
        <v>127434</v>
      </c>
      <c r="G21" s="110">
        <f>($E$13*G13+$E$14*G14+$E$15*G15+$E$16*G16+$E$17*G17+$E$18*G18+$E$19*G19+$E$20*G20)/$E$21</f>
        <v>2.1892570656953541</v>
      </c>
      <c r="H21" s="111">
        <f>($E$13*H13+$E$14*H14+$E$15*H15+$E$16*H16+$E$17*H17+$E$18*H18+$E$19*H19+$E$20*H20)/$E$21</f>
        <v>3.3036399308270248</v>
      </c>
      <c r="I21" s="111">
        <f>($E$13*I13+$E$14*I14+$E$15*I15+$E$16*I16+$E$17*I17+$E$18*I18+$E$19*I19+$E$20*I20)/$E$21</f>
        <v>3.7046685722097727</v>
      </c>
      <c r="J21" s="111">
        <f>($E$13*J13+$E$14*J14+$E$15*J15+$E$16*J16+$E$18*J18+$E$19*J19+$E$20*J20+E17*J17)/($E$21)</f>
        <v>5.3899197719315053</v>
      </c>
      <c r="K21" s="111">
        <f>($E$13*K13+$E$14*K14+$E$15*K15+$E$16*K16+$E$18*K18+$E$19*K19+$E$20*K20)/($E$21-$E$17)</f>
        <v>5.8052654632571565</v>
      </c>
      <c r="L21" s="111">
        <f>($E$13*L13+$E$19*L19+$E$18*L18)/($E$13+$E$19+$E$18)</f>
        <v>3.2398235478865804</v>
      </c>
      <c r="M21" s="112">
        <f>($E$13*M13+$E$14*M14+$E$15*M15+$E$16*M16+$E$17*M17+$E$18*M18+$E$19*M19+$E$20*M20)/$E$21</f>
        <v>4.0323348945719513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1.0867552371541502</v>
      </c>
      <c r="F23" s="64">
        <v>632</v>
      </c>
      <c r="G23" s="73">
        <v>5.4368659679703777</v>
      </c>
      <c r="H23" s="75">
        <v>5.3313211810344541</v>
      </c>
      <c r="I23" s="75">
        <v>1.340066858656308</v>
      </c>
      <c r="J23" s="75">
        <v>2.4841500525487392</v>
      </c>
      <c r="K23" s="75">
        <v>2.8068208032793418</v>
      </c>
      <c r="L23" s="75">
        <v>4.0791863802048356</v>
      </c>
      <c r="M23" s="90">
        <v>4.0893694831128258</v>
      </c>
    </row>
    <row r="24" spans="1:15" ht="12.75" customHeight="1" x14ac:dyDescent="0.2">
      <c r="A24" s="60" t="s">
        <v>14</v>
      </c>
      <c r="B24" s="22" t="s">
        <v>9</v>
      </c>
      <c r="C24" s="22" t="s">
        <v>20</v>
      </c>
      <c r="D24" s="23">
        <v>37816</v>
      </c>
      <c r="E24" s="116">
        <v>3.27510967529851</v>
      </c>
      <c r="F24" s="117">
        <v>2312</v>
      </c>
      <c r="G24" s="13">
        <v>3.3704878031054042</v>
      </c>
      <c r="H24" s="13">
        <v>2.5708707414863197</v>
      </c>
      <c r="I24" s="13">
        <v>0.74877443507606056</v>
      </c>
      <c r="J24" s="13">
        <v>3.712456459277913</v>
      </c>
      <c r="K24" s="13">
        <v>2.8115559108600641</v>
      </c>
      <c r="L24" s="115">
        <v>1.5576550197572647</v>
      </c>
      <c r="M24" s="13">
        <v>2.1783383919798061</v>
      </c>
    </row>
    <row r="25" spans="1:15" ht="12.75" customHeight="1" x14ac:dyDescent="0.2">
      <c r="A25" s="30" t="s">
        <v>34</v>
      </c>
      <c r="B25" s="31" t="s">
        <v>9</v>
      </c>
      <c r="C25" s="35"/>
      <c r="D25" s="36"/>
      <c r="E25" s="68">
        <f>SUM(E23:E24)</f>
        <v>4.3618649124526598</v>
      </c>
      <c r="F25" s="34">
        <f>SUM(F23:F24)</f>
        <v>2944</v>
      </c>
      <c r="G25" s="110">
        <f t="shared" ref="G25:M25" si="0">($E$23*G23+$E$24*G24)/$E$25</f>
        <v>3.8853243094348202</v>
      </c>
      <c r="H25" s="111">
        <f t="shared" si="0"/>
        <v>3.2586348131151586</v>
      </c>
      <c r="I25" s="111">
        <f t="shared" si="0"/>
        <v>0.89609448072462661</v>
      </c>
      <c r="J25" s="111">
        <f t="shared" si="0"/>
        <v>3.4064248771140511</v>
      </c>
      <c r="K25" s="111">
        <f t="shared" si="0"/>
        <v>2.8103761625035419</v>
      </c>
      <c r="L25" s="112">
        <f t="shared" si="0"/>
        <v>2.1858925893783687</v>
      </c>
      <c r="M25" s="112">
        <f t="shared" si="0"/>
        <v>2.6544702961853015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123.67384955955154</v>
      </c>
      <c r="F27" s="34">
        <f>F25+F21</f>
        <v>130378</v>
      </c>
      <c r="G27" s="81">
        <f>($E$21*G21+$E$25*G25)/$E$27</f>
        <v>2.2490758246809808</v>
      </c>
      <c r="H27" s="81">
        <f t="shared" ref="H27:M27" si="1">($E$21*H21+$E$25*H25)/$E$27</f>
        <v>3.3020526409955262</v>
      </c>
      <c r="I27" s="81">
        <f t="shared" si="1"/>
        <v>3.6056127020536994</v>
      </c>
      <c r="J27" s="81">
        <f t="shared" si="1"/>
        <v>5.3199636994348118</v>
      </c>
      <c r="K27" s="81">
        <f t="shared" si="1"/>
        <v>5.6996384240394056</v>
      </c>
      <c r="L27" s="81">
        <f>($E$21*L21+$E$25*L25)/$E$27</f>
        <v>3.2026523553957138</v>
      </c>
      <c r="M27" s="81">
        <f t="shared" si="1"/>
        <v>3.9837388553347362</v>
      </c>
    </row>
    <row r="28" spans="1:15" s="20" customFormat="1" ht="26.25" customHeight="1" x14ac:dyDescent="0.2">
      <c r="A28" s="220" t="s">
        <v>37</v>
      </c>
      <c r="B28" s="220"/>
      <c r="C28" s="220"/>
      <c r="D28" s="220"/>
      <c r="E28" s="70">
        <f>SUM(E10,E27)</f>
        <v>287.13087226017171</v>
      </c>
      <c r="F28" s="53">
        <f>SUM(F10, F27)</f>
        <v>251134</v>
      </c>
      <c r="G28" s="171"/>
      <c r="H28" s="221"/>
      <c r="I28" s="222"/>
      <c r="J28" s="222"/>
      <c r="K28" s="222"/>
      <c r="L28" s="222"/>
      <c r="M28" s="223"/>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63.968000000000004</v>
      </c>
      <c r="F31" s="94">
        <v>12755</v>
      </c>
      <c r="G31" s="95">
        <v>2.3199999999999998</v>
      </c>
      <c r="H31" s="95">
        <v>2.4500000000000002</v>
      </c>
      <c r="I31" s="95">
        <v>2.39</v>
      </c>
      <c r="J31" s="95">
        <v>3.55</v>
      </c>
      <c r="K31" s="95">
        <v>4.05</v>
      </c>
      <c r="L31" s="95">
        <v>3.73</v>
      </c>
      <c r="M31" s="96">
        <v>6.92</v>
      </c>
    </row>
    <row r="32" spans="1:15" ht="31.5" customHeight="1" x14ac:dyDescent="0.2">
      <c r="A32" s="224" t="s">
        <v>26</v>
      </c>
      <c r="B32" s="225"/>
      <c r="C32" s="225"/>
      <c r="D32" s="226"/>
      <c r="E32" s="101">
        <f>E28+E31</f>
        <v>351.09887226017173</v>
      </c>
      <c r="F32" s="102">
        <f>F28+F31</f>
        <v>263889</v>
      </c>
      <c r="G32" s="103"/>
      <c r="H32" s="104"/>
      <c r="I32" s="104"/>
      <c r="J32" s="104"/>
      <c r="K32" s="104"/>
      <c r="L32" s="104"/>
      <c r="M32" s="104"/>
    </row>
    <row r="33" spans="1:13" ht="41.25" customHeight="1" x14ac:dyDescent="0.2">
      <c r="A33" s="207" t="s">
        <v>44</v>
      </c>
      <c r="B33" s="208"/>
      <c r="C33" s="208"/>
      <c r="D33" s="208"/>
      <c r="E33" s="208"/>
      <c r="F33" s="208"/>
      <c r="G33" s="208"/>
      <c r="H33" s="208"/>
      <c r="I33" s="208"/>
      <c r="J33" s="208"/>
      <c r="K33" s="208"/>
      <c r="L33" s="208"/>
      <c r="M33" s="209"/>
    </row>
    <row r="34" spans="1:13" s="4" customFormat="1" ht="24" customHeight="1" x14ac:dyDescent="0.2">
      <c r="A34" s="210" t="s">
        <v>24</v>
      </c>
      <c r="B34" s="211"/>
      <c r="C34" s="211"/>
      <c r="D34" s="211"/>
      <c r="E34" s="211"/>
      <c r="F34" s="211"/>
      <c r="G34" s="211"/>
      <c r="H34" s="211"/>
      <c r="I34" s="211"/>
      <c r="J34" s="211"/>
      <c r="K34" s="211"/>
      <c r="L34" s="211"/>
      <c r="M34" s="212"/>
    </row>
    <row r="35" spans="1:13" s="4" customFormat="1" ht="24" customHeight="1" x14ac:dyDescent="0.2">
      <c r="A35" s="168" t="s">
        <v>42</v>
      </c>
      <c r="B35" s="169"/>
      <c r="C35" s="169"/>
      <c r="D35" s="169"/>
      <c r="E35" s="169"/>
      <c r="F35" s="169"/>
      <c r="G35" s="169"/>
      <c r="H35" s="169"/>
      <c r="I35" s="169"/>
      <c r="J35" s="169"/>
      <c r="K35" s="169"/>
      <c r="L35" s="169"/>
      <c r="M35" s="170"/>
    </row>
    <row r="36" spans="1:13" ht="22.5" customHeight="1" x14ac:dyDescent="0.2">
      <c r="B36" s="11"/>
      <c r="C36" s="11"/>
      <c r="D36" s="11"/>
      <c r="E36" s="213" t="s">
        <v>39</v>
      </c>
      <c r="F36" s="214"/>
      <c r="G36" s="84">
        <f>($E$10*G10+$E$21*G21+$E$25*G25+$E$31*G31)/$E$32</f>
        <v>2.509772279227084</v>
      </c>
      <c r="H36" s="84">
        <f>($E$10*H10+$E$21*H21+$E$25*H25+$E$31*H31)/$E$32</f>
        <v>3.0257479047472202</v>
      </c>
      <c r="I36" s="84">
        <f t="shared" ref="I36:M36" si="2">($E$10*I10+$E$21*I21+$E$25*I25+$E$31*I31)/$E$32</f>
        <v>3.0073474231144162</v>
      </c>
      <c r="J36" s="84">
        <f t="shared" si="2"/>
        <v>4.2664742930048778</v>
      </c>
      <c r="K36" s="84">
        <f t="shared" si="2"/>
        <v>4.6291209309042811</v>
      </c>
      <c r="L36" s="84">
        <f t="shared" si="2"/>
        <v>3.5083287714388707</v>
      </c>
      <c r="M36" s="84">
        <f t="shared" si="2"/>
        <v>5.0327473591029293</v>
      </c>
    </row>
    <row r="37" spans="1:13" ht="16.5" customHeight="1" x14ac:dyDescent="0.2">
      <c r="B37" s="10"/>
      <c r="C37" s="10"/>
      <c r="D37" s="10"/>
      <c r="E37" s="16"/>
      <c r="F37" s="105" t="s">
        <v>45</v>
      </c>
      <c r="G37" s="85"/>
      <c r="H37" s="85">
        <f>H36-'JUL-2016'!H36</f>
        <v>2.7281208015783958</v>
      </c>
      <c r="I37" s="85">
        <f>I36-'JUL-2016'!I36</f>
        <v>-0.10260065114207828</v>
      </c>
      <c r="J37" s="85">
        <f>J36-'JUL-2016'!J36</f>
        <v>0.31468494623030585</v>
      </c>
      <c r="K37" s="85">
        <f>K36-'JUL-2016'!K36</f>
        <v>0.78187610220348658</v>
      </c>
      <c r="L37" s="85">
        <f>L36-'JUL-2016'!L36</f>
        <v>-4.3609649758677538E-2</v>
      </c>
      <c r="M37" s="85">
        <f>M36-'JUL-2016'!M36</f>
        <v>1.1176608759793538E-2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77</v>
      </c>
      <c r="B41" s="86"/>
      <c r="C41" s="86"/>
      <c r="D41" s="20"/>
      <c r="E41" s="87">
        <f>E32-'DEC-2015'!E32</f>
        <v>20.70142151274257</v>
      </c>
      <c r="F41" s="88">
        <f>E41/'DEC-2015'!E32</f>
        <v>6.2656117551487034E-2</v>
      </c>
      <c r="H41" s="6"/>
      <c r="I41" s="6"/>
      <c r="J41" s="6"/>
      <c r="K41" s="6"/>
      <c r="L41" s="6"/>
      <c r="M41" s="6"/>
    </row>
    <row r="42" spans="1:13" x14ac:dyDescent="0.2">
      <c r="A42" s="20" t="s">
        <v>78</v>
      </c>
      <c r="B42" s="86"/>
      <c r="C42" s="86"/>
      <c r="D42" s="20"/>
      <c r="E42" s="89">
        <f>F32-'DEC-2015'!F32</f>
        <v>8877</v>
      </c>
      <c r="F42" s="88">
        <f>E42/'DEC-2015'!F32</f>
        <v>3.4810126582278479E-2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DEC-2015</vt:lpstr>
      <vt:lpstr>JAN-2016</vt:lpstr>
      <vt:lpstr>FEB-2016</vt:lpstr>
      <vt:lpstr>MAR-2016</vt:lpstr>
      <vt:lpstr>APR-2016</vt:lpstr>
      <vt:lpstr>MAI-2016</vt:lpstr>
      <vt:lpstr>JUN-2016</vt:lpstr>
      <vt:lpstr>JUL-2016</vt:lpstr>
      <vt:lpstr>Aug-2016</vt:lpstr>
      <vt:lpstr>Sept-2016</vt:lpstr>
      <vt:lpstr>Okt-2016</vt:lpstr>
      <vt:lpstr>Nov-2016</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Baiba Melnace</cp:lastModifiedBy>
  <cp:lastPrinted>2016-04-18T10:50:55Z</cp:lastPrinted>
  <dcterms:created xsi:type="dcterms:W3CDTF">2007-05-09T12:50:46Z</dcterms:created>
  <dcterms:modified xsi:type="dcterms:W3CDTF">2016-12-14T07:18:07Z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